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red\Documents\"/>
    </mc:Choice>
  </mc:AlternateContent>
  <xr:revisionPtr revIDLastSave="0" documentId="8_{BC3CBEAC-3A19-402D-AADC-1106D82ACE5E}" xr6:coauthVersionLast="45" xr6:coauthVersionMax="45" xr10:uidLastSave="{00000000-0000-0000-0000-000000000000}"/>
  <bookViews>
    <workbookView xWindow="-108" yWindow="-108" windowWidth="23256" windowHeight="12576" activeTab="1" xr2:uid="{E1ADE8E5-3810-4AA5-B603-11D880C0C8D1}"/>
  </bookViews>
  <sheets>
    <sheet name="META" sheetId="3" r:id="rId1"/>
    <sheet name="Data" sheetId="1" r:id="rId2"/>
    <sheet name="HW Calcs" sheetId="5" r:id="rId3"/>
    <sheet name="Opti-Tool" sheetId="6" r:id="rId4"/>
    <sheet name="Region5" sheetId="2" r:id="rId5"/>
    <sheet name="TABLE" sheetId="4" r:id="rId6"/>
  </sheets>
  <externalReferences>
    <externalReference r:id="rId7"/>
  </externalReferences>
  <definedNames>
    <definedName name="_xlnm._FilterDatabase" localSheetId="1" hidden="1">Data!$A$2:$Z$80</definedName>
    <definedName name="_xlnm._FilterDatabase" localSheetId="4" hidden="1">Region5!$A$2:$U$37</definedName>
    <definedName name="_xlnm._FilterDatabase" localSheetId="5" hidden="1">TABLE!$A$1:$I$79</definedName>
    <definedName name="_xlnm.Print_Area" localSheetId="1">Data!$C$2:$O$27</definedName>
    <definedName name="_xlnm.Print_Area" localSheetId="5">TABLE!$B$1:$C$26</definedName>
    <definedName name="Regulated">[1]GIS!#REF!</definedName>
    <definedName name="solver_ntri" hidden="1">1000</definedName>
    <definedName name="solver_rsmp" hidden="1">2</definedName>
    <definedName name="solver_seed" hidden="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93" i="1" l="1"/>
  <c r="Y93" i="1"/>
  <c r="Z92" i="1"/>
  <c r="Y92" i="1"/>
  <c r="Z86" i="1"/>
  <c r="Y86" i="1"/>
  <c r="Z85" i="1"/>
  <c r="Y85" i="1"/>
  <c r="Z84" i="1"/>
  <c r="Y84" i="1"/>
  <c r="Z81" i="1"/>
  <c r="Y81" i="1"/>
  <c r="X94" i="1"/>
  <c r="X93" i="1"/>
  <c r="X92" i="1"/>
  <c r="X91" i="1"/>
  <c r="X90" i="1"/>
  <c r="X89" i="1"/>
  <c r="X88" i="1"/>
  <c r="X87" i="1"/>
  <c r="X86" i="1"/>
  <c r="X85" i="1"/>
  <c r="X84" i="1"/>
  <c r="X83" i="1"/>
  <c r="X82" i="1"/>
  <c r="X81"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AD17" i="5" l="1"/>
  <c r="AF17" i="5" s="1"/>
  <c r="AC17" i="5"/>
  <c r="AE17" i="5" s="1"/>
  <c r="AG17" i="5" s="1"/>
  <c r="Y17" i="5"/>
  <c r="AL17" i="5"/>
  <c r="AL25" i="5"/>
  <c r="AL26" i="5"/>
  <c r="AL19" i="5"/>
  <c r="AL14" i="5"/>
  <c r="F33" i="6"/>
  <c r="E33" i="6"/>
  <c r="F32" i="6"/>
  <c r="E32" i="6"/>
  <c r="F31" i="6"/>
  <c r="E31" i="6"/>
  <c r="F30" i="6"/>
  <c r="E30" i="6"/>
  <c r="F29" i="6"/>
  <c r="E29" i="6"/>
  <c r="F28" i="6"/>
  <c r="E28" i="6"/>
  <c r="F27" i="6"/>
  <c r="E27" i="6"/>
  <c r="D19" i="6"/>
  <c r="F19" i="6" s="1"/>
  <c r="F18" i="6"/>
  <c r="D18" i="6"/>
  <c r="F17" i="6"/>
  <c r="D17" i="6"/>
  <c r="D16" i="6"/>
  <c r="F16" i="6" s="1"/>
  <c r="D15" i="6"/>
  <c r="F15" i="6" s="1"/>
  <c r="F14" i="6"/>
  <c r="D14" i="6"/>
  <c r="D13" i="6"/>
  <c r="F13" i="6" s="1"/>
  <c r="F12" i="6"/>
  <c r="D12" i="6"/>
  <c r="F11" i="6"/>
  <c r="D11" i="6"/>
  <c r="D10" i="6"/>
  <c r="F10" i="6" s="1"/>
  <c r="D9" i="6"/>
  <c r="F9" i="6" s="1"/>
  <c r="W96" i="1" l="1"/>
  <c r="V96" i="1"/>
  <c r="N82" i="1"/>
  <c r="O82" i="1"/>
  <c r="P82" i="1"/>
  <c r="Q82" i="1"/>
  <c r="R82" i="1"/>
  <c r="N83" i="1"/>
  <c r="O83" i="1"/>
  <c r="P83" i="1"/>
  <c r="Q83" i="1"/>
  <c r="R83" i="1"/>
  <c r="N84" i="1"/>
  <c r="O84" i="1"/>
  <c r="P84" i="1"/>
  <c r="Q84" i="1"/>
  <c r="R84" i="1"/>
  <c r="T84" i="1"/>
  <c r="N85" i="1"/>
  <c r="O85" i="1"/>
  <c r="P85" i="1"/>
  <c r="Q85" i="1"/>
  <c r="R85" i="1"/>
  <c r="N86" i="1"/>
  <c r="O86" i="1"/>
  <c r="P86" i="1"/>
  <c r="Q86" i="1"/>
  <c r="R86" i="1"/>
  <c r="N87" i="1"/>
  <c r="O87" i="1"/>
  <c r="P87" i="1"/>
  <c r="Q87" i="1"/>
  <c r="R87" i="1"/>
  <c r="N88" i="1"/>
  <c r="O88" i="1"/>
  <c r="P88" i="1"/>
  <c r="Q88" i="1"/>
  <c r="R88" i="1"/>
  <c r="N89" i="1"/>
  <c r="O89" i="1"/>
  <c r="P89" i="1"/>
  <c r="Q89" i="1"/>
  <c r="R89" i="1"/>
  <c r="N90" i="1"/>
  <c r="O90" i="1"/>
  <c r="P90" i="1"/>
  <c r="Q90" i="1"/>
  <c r="R90" i="1"/>
  <c r="N91" i="1"/>
  <c r="O91" i="1"/>
  <c r="P91" i="1"/>
  <c r="Q91" i="1"/>
  <c r="R91" i="1"/>
  <c r="N92" i="1"/>
  <c r="O92" i="1"/>
  <c r="P92" i="1"/>
  <c r="Q92" i="1"/>
  <c r="R92" i="1"/>
  <c r="U92" i="1"/>
  <c r="N93" i="1"/>
  <c r="O93" i="1"/>
  <c r="P93" i="1"/>
  <c r="Q93" i="1"/>
  <c r="R93" i="1"/>
  <c r="N94" i="1"/>
  <c r="O94" i="1"/>
  <c r="P94" i="1"/>
  <c r="Q94" i="1"/>
  <c r="R94" i="1"/>
  <c r="R81" i="1"/>
  <c r="Q81" i="1"/>
  <c r="P81" i="1"/>
  <c r="O81" i="1"/>
  <c r="N81" i="1"/>
  <c r="AH27" i="5"/>
  <c r="S94" i="1" s="1"/>
  <c r="AI27" i="5"/>
  <c r="T94" i="1" s="1"/>
  <c r="AJ27" i="5"/>
  <c r="U94" i="1" s="1"/>
  <c r="Y14" i="5"/>
  <c r="AM14" i="5" s="1"/>
  <c r="AN14" i="5" s="1"/>
  <c r="AH15" i="5"/>
  <c r="S82" i="1" s="1"/>
  <c r="AH16" i="5"/>
  <c r="S83" i="1" s="1"/>
  <c r="AH17" i="5"/>
  <c r="S84" i="1" s="1"/>
  <c r="AH18" i="5"/>
  <c r="S85" i="1" s="1"/>
  <c r="AH20" i="5"/>
  <c r="S87" i="1" s="1"/>
  <c r="AH21" i="5"/>
  <c r="S88" i="1" s="1"/>
  <c r="AH22" i="5"/>
  <c r="S89" i="1" s="1"/>
  <c r="AH23" i="5"/>
  <c r="S90" i="1" s="1"/>
  <c r="AH24" i="5"/>
  <c r="S91" i="1" s="1"/>
  <c r="AI15" i="5"/>
  <c r="T82" i="1" s="1"/>
  <c r="AJ15" i="5"/>
  <c r="U82" i="1" s="1"/>
  <c r="AI16" i="5"/>
  <c r="T83" i="1" s="1"/>
  <c r="AJ16" i="5"/>
  <c r="U83" i="1" s="1"/>
  <c r="AI17" i="5"/>
  <c r="AJ17" i="5"/>
  <c r="U84" i="1" s="1"/>
  <c r="AI18" i="5"/>
  <c r="T85" i="1" s="1"/>
  <c r="AJ18" i="5"/>
  <c r="U85" i="1" s="1"/>
  <c r="AI20" i="5"/>
  <c r="T87" i="1" s="1"/>
  <c r="AJ20" i="5"/>
  <c r="U87" i="1" s="1"/>
  <c r="AI21" i="5"/>
  <c r="T88" i="1" s="1"/>
  <c r="AJ21" i="5"/>
  <c r="U88" i="1" s="1"/>
  <c r="AI22" i="5"/>
  <c r="T89" i="1" s="1"/>
  <c r="AJ22" i="5"/>
  <c r="U89" i="1" s="1"/>
  <c r="AI23" i="5"/>
  <c r="T90" i="1" s="1"/>
  <c r="AJ23" i="5"/>
  <c r="U90" i="1" s="1"/>
  <c r="AI24" i="5"/>
  <c r="T91" i="1" s="1"/>
  <c r="AJ24" i="5"/>
  <c r="U91" i="1" s="1"/>
  <c r="AD26" i="5"/>
  <c r="AF26" i="5" s="1"/>
  <c r="AJ26" i="5" s="1"/>
  <c r="U93" i="1" s="1"/>
  <c r="AC26" i="5"/>
  <c r="AE26" i="5" s="1"/>
  <c r="AG26" i="5" s="1"/>
  <c r="AH26" i="5" s="1"/>
  <c r="S93" i="1" s="1"/>
  <c r="Y26" i="5"/>
  <c r="AM26" i="5" s="1"/>
  <c r="AN26" i="5" s="1"/>
  <c r="AD25" i="5"/>
  <c r="AF25" i="5" s="1"/>
  <c r="AJ25" i="5" s="1"/>
  <c r="AC25" i="5"/>
  <c r="AE25" i="5" s="1"/>
  <c r="Y25" i="5"/>
  <c r="AM25" i="5" s="1"/>
  <c r="AN25" i="5" s="1"/>
  <c r="AP25" i="5" l="1"/>
  <c r="AO25" i="5"/>
  <c r="AP26" i="5"/>
  <c r="AO26" i="5"/>
  <c r="AP14" i="5"/>
  <c r="AO14" i="5"/>
  <c r="AG25" i="5"/>
  <c r="AH25" i="5" s="1"/>
  <c r="S92" i="1" s="1"/>
  <c r="AI25" i="5"/>
  <c r="T92" i="1" s="1"/>
  <c r="AI26" i="5"/>
  <c r="T93" i="1" s="1"/>
  <c r="Y19" i="5"/>
  <c r="AM19" i="5" s="1"/>
  <c r="AD19" i="5"/>
  <c r="AF19" i="5" s="1"/>
  <c r="AJ19" i="5" s="1"/>
  <c r="U86" i="1" s="1"/>
  <c r="AC19" i="5"/>
  <c r="AE19" i="5" s="1"/>
  <c r="AM17" i="5" l="1"/>
  <c r="AN17" i="5" s="1"/>
  <c r="AN19" i="5"/>
  <c r="AG19" i="5"/>
  <c r="AH19" i="5" s="1"/>
  <c r="S86" i="1" s="1"/>
  <c r="AI19" i="5"/>
  <c r="T86" i="1" s="1"/>
  <c r="AD14" i="5"/>
  <c r="AF14" i="5" s="1"/>
  <c r="AJ14" i="5" s="1"/>
  <c r="U81" i="1" s="1"/>
  <c r="U96" i="1" s="1"/>
  <c r="AC14" i="5"/>
  <c r="AE14" i="5" s="1"/>
  <c r="AO17" i="5" l="1"/>
  <c r="AP17" i="5"/>
  <c r="AP19" i="5"/>
  <c r="AO19" i="5"/>
  <c r="AG14" i="5"/>
  <c r="AH14" i="5" s="1"/>
  <c r="S81" i="1" s="1"/>
  <c r="S96" i="1" s="1"/>
  <c r="AI14" i="5"/>
  <c r="T81" i="1" s="1"/>
  <c r="T96" i="1" s="1"/>
  <c r="I80" i="4"/>
  <c r="H80" i="4"/>
  <c r="G80" i="4"/>
  <c r="F80" i="4"/>
  <c r="E80" i="4"/>
  <c r="V100" i="1" l="1"/>
  <c r="X7" i="1"/>
  <c r="X5" i="1"/>
  <c r="X37" i="1" l="1"/>
  <c r="Y37" i="1" s="1"/>
  <c r="Z7" i="1"/>
  <c r="Z37" i="1" l="1"/>
  <c r="Y7" i="1"/>
  <c r="S37" i="2"/>
  <c r="W100" i="1" l="1"/>
  <c r="X49" i="1"/>
  <c r="X51" i="1"/>
  <c r="X21" i="1"/>
  <c r="X41" i="1"/>
  <c r="X69" i="1"/>
  <c r="X70" i="1"/>
  <c r="X44" i="1"/>
  <c r="X39" i="1"/>
  <c r="X25" i="1"/>
  <c r="X74" i="1"/>
  <c r="X80" i="1"/>
  <c r="X62" i="1"/>
  <c r="X78" i="1"/>
  <c r="X72" i="1"/>
  <c r="X19" i="1"/>
  <c r="X23" i="1"/>
  <c r="X33" i="1"/>
  <c r="X65" i="1"/>
  <c r="X38" i="1"/>
  <c r="X63" i="1"/>
  <c r="X64" i="1"/>
  <c r="X11" i="1"/>
  <c r="Z11" i="1" s="1"/>
  <c r="X28" i="1"/>
  <c r="X17" i="1"/>
  <c r="X13" i="1"/>
  <c r="X71" i="1"/>
  <c r="X36" i="1"/>
  <c r="X43" i="1"/>
  <c r="X22" i="1"/>
  <c r="X67" i="1"/>
  <c r="X42" i="1"/>
  <c r="X50" i="1"/>
  <c r="X26" i="1"/>
  <c r="X16" i="1"/>
  <c r="X46" i="1"/>
  <c r="X27" i="1"/>
  <c r="X29" i="1"/>
  <c r="X52" i="1"/>
  <c r="X55" i="1"/>
  <c r="X59" i="1"/>
  <c r="X73" i="1"/>
  <c r="X79" i="1"/>
  <c r="X60" i="1"/>
  <c r="X54" i="1"/>
  <c r="X75" i="1"/>
  <c r="X47" i="1"/>
  <c r="X77" i="1"/>
  <c r="X76" i="1"/>
  <c r="X57" i="1"/>
  <c r="X35" i="1"/>
  <c r="X30" i="1"/>
  <c r="X48" i="1"/>
  <c r="X68" i="1"/>
  <c r="X31" i="1"/>
  <c r="X58" i="1"/>
  <c r="X24" i="1"/>
  <c r="X32" i="1"/>
  <c r="X53" i="1"/>
  <c r="X66" i="1"/>
  <c r="X56" i="1"/>
  <c r="X34" i="1"/>
  <c r="X12" i="1"/>
  <c r="X40" i="1"/>
  <c r="X61" i="1"/>
  <c r="X4" i="1"/>
  <c r="X45" i="1"/>
  <c r="X18" i="1"/>
  <c r="X15" i="1"/>
  <c r="X14" i="1"/>
  <c r="X20" i="1"/>
  <c r="X10" i="1"/>
  <c r="X9" i="1"/>
  <c r="Z5" i="1"/>
  <c r="X3" i="1"/>
  <c r="U97" i="1"/>
  <c r="T97" i="1"/>
  <c r="S97" i="1"/>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 i="2"/>
  <c r="Z4" i="1" l="1"/>
  <c r="Y4" i="1"/>
  <c r="Z57" i="1"/>
  <c r="Y57" i="1"/>
  <c r="Z16" i="1"/>
  <c r="Y16" i="1"/>
  <c r="Z74" i="1"/>
  <c r="Y74" i="1"/>
  <c r="Z24" i="1"/>
  <c r="Y24" i="1"/>
  <c r="Z59" i="1"/>
  <c r="Y59" i="1"/>
  <c r="Z25" i="1"/>
  <c r="Y25" i="1"/>
  <c r="Z40" i="1"/>
  <c r="Y40" i="1"/>
  <c r="Z50" i="1"/>
  <c r="Y50" i="1"/>
  <c r="Z31" i="1"/>
  <c r="Y31" i="1"/>
  <c r="Z28" i="1"/>
  <c r="Y28" i="1"/>
  <c r="Z34" i="1"/>
  <c r="Y34" i="1"/>
  <c r="Z68" i="1"/>
  <c r="Y68" i="1"/>
  <c r="Z29" i="1"/>
  <c r="Y29" i="1"/>
  <c r="Z70" i="1"/>
  <c r="Y70" i="1"/>
  <c r="Z15" i="1"/>
  <c r="Y15" i="1"/>
  <c r="Z56" i="1"/>
  <c r="Y56" i="1"/>
  <c r="Z48" i="1"/>
  <c r="Y48" i="1"/>
  <c r="Z54" i="1"/>
  <c r="Y54" i="1"/>
  <c r="Z27" i="1"/>
  <c r="Y27" i="1"/>
  <c r="Z22" i="1"/>
  <c r="Y22" i="1"/>
  <c r="Z64" i="1"/>
  <c r="Y64" i="1"/>
  <c r="Z78" i="1"/>
  <c r="Y78" i="1"/>
  <c r="Z69" i="1"/>
  <c r="Y69" i="1"/>
  <c r="Z65" i="1"/>
  <c r="Y65" i="1"/>
  <c r="Z13" i="1"/>
  <c r="Y13" i="1"/>
  <c r="Z10" i="1"/>
  <c r="Y10" i="1"/>
  <c r="Z58" i="1"/>
  <c r="Y58" i="1"/>
  <c r="Z55" i="1"/>
  <c r="Y55" i="1"/>
  <c r="Z17" i="1"/>
  <c r="Y17" i="1"/>
  <c r="Z23" i="1"/>
  <c r="Y23" i="1"/>
  <c r="Z39" i="1"/>
  <c r="Y39" i="1"/>
  <c r="Z12" i="1"/>
  <c r="Y12" i="1"/>
  <c r="Z44" i="1"/>
  <c r="Y44" i="1"/>
  <c r="Y11" i="1"/>
  <c r="Z3" i="1"/>
  <c r="Y3" i="1"/>
  <c r="Z18" i="1"/>
  <c r="Y18" i="1"/>
  <c r="Z66" i="1"/>
  <c r="Y66" i="1"/>
  <c r="Z30" i="1"/>
  <c r="Y30" i="1"/>
  <c r="Z60" i="1"/>
  <c r="Y60" i="1"/>
  <c r="Z43" i="1"/>
  <c r="Y43" i="1"/>
  <c r="Z63" i="1"/>
  <c r="Y63" i="1"/>
  <c r="Z62" i="1"/>
  <c r="Y62" i="1"/>
  <c r="Z41" i="1"/>
  <c r="Y41" i="1"/>
  <c r="Z32" i="1"/>
  <c r="Y32" i="1"/>
  <c r="Z73" i="1"/>
  <c r="Y73" i="1"/>
  <c r="Z51" i="1"/>
  <c r="Y51" i="1"/>
  <c r="Z76" i="1"/>
  <c r="Y76" i="1"/>
  <c r="Z26" i="1"/>
  <c r="Y26" i="1"/>
  <c r="Z33" i="1"/>
  <c r="Y33" i="1"/>
  <c r="Z77" i="1"/>
  <c r="Y77" i="1"/>
  <c r="Z20" i="1"/>
  <c r="Y20" i="1"/>
  <c r="Z47" i="1"/>
  <c r="Y47" i="1"/>
  <c r="Z52" i="1"/>
  <c r="Y52" i="1"/>
  <c r="Z42" i="1"/>
  <c r="Y42" i="1"/>
  <c r="Z19" i="1"/>
  <c r="Y19" i="1"/>
  <c r="Z14" i="1"/>
  <c r="Y14" i="1"/>
  <c r="Z75" i="1"/>
  <c r="Y75" i="1"/>
  <c r="Z67" i="1"/>
  <c r="Y67" i="1"/>
  <c r="Z72" i="1"/>
  <c r="Y72" i="1"/>
  <c r="Y5" i="1"/>
  <c r="Z45" i="1"/>
  <c r="Y45" i="1"/>
  <c r="Z53" i="1"/>
  <c r="Y53" i="1"/>
  <c r="Z35" i="1"/>
  <c r="Y35" i="1"/>
  <c r="Z79" i="1"/>
  <c r="Y79" i="1"/>
  <c r="Z46" i="1"/>
  <c r="Y46" i="1"/>
  <c r="Z36" i="1"/>
  <c r="Y36" i="1"/>
  <c r="Z38" i="1"/>
  <c r="Y38" i="1"/>
  <c r="Z80" i="1"/>
  <c r="Y80" i="1"/>
  <c r="Z21" i="1"/>
  <c r="Y21" i="1"/>
  <c r="Z71" i="1"/>
  <c r="Y71" i="1"/>
  <c r="Z9" i="1"/>
  <c r="Y9" i="1"/>
  <c r="Z49" i="1"/>
  <c r="Y49" i="1"/>
  <c r="Z61" i="1"/>
  <c r="Y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tc={594D07B7-3379-49DA-958A-D8701F313288}</author>
  </authors>
  <commentList>
    <comment ref="A81" authorId="0" shapeId="0" xr:uid="{594D07B7-3379-49DA-958A-D8701F313288}">
      <text>
        <t>[Threaded comment]
Your version of Excel allows you to read this threaded comment; however, any edits to it will get removed if the file is opened in a newer version of Excel. Learn more: https://go.microsoft.com/fwlink/?linkid=870924
Comment:
    Site 3-14?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Lori Kennedy</author>
    <author>tc={EC78CD71-56B5-4277-B932-21CCF93B095C}</author>
  </authors>
  <commentList>
    <comment ref="B13" authorId="0" shapeId="0" xr:uid="{F52BC4BB-7E75-429B-A8D0-CDE12FE8DD15}">
      <text>
        <r>
          <rPr>
            <b/>
            <sz val="9"/>
            <color indexed="81"/>
            <rFont val="Tahoma"/>
            <family val="2"/>
          </rPr>
          <t>Lori Kennedy:</t>
        </r>
        <r>
          <rPr>
            <sz val="9"/>
            <color indexed="81"/>
            <rFont val="Tahoma"/>
            <family val="2"/>
          </rPr>
          <t xml:space="preserve">
Site ID (MP#) corresponds to drainage areas described in the site assessment memo</t>
        </r>
      </text>
    </comment>
    <comment ref="B14" authorId="1" shapeId="0" xr:uid="{EC78CD71-56B5-4277-B932-21CCF93B095C}">
      <text>
        <t>[Threaded comment]
Your version of Excel allows you to read this threaded comment; however, any edits to it will get removed if the file is opened in a newer version of Excel. Learn more: https://go.microsoft.com/fwlink/?linkid=870924
Comment:
    Site 3-14?</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Diemer</author>
  </authors>
  <commentList>
    <comment ref="M2" authorId="0" shapeId="0" xr:uid="{509DE4AD-91A4-45EA-BEF0-3185344A49A3}">
      <text>
        <r>
          <rPr>
            <b/>
            <sz val="9"/>
            <color indexed="81"/>
            <rFont val="Tahoma"/>
            <family val="2"/>
          </rPr>
          <t>Laura Diemer:</t>
        </r>
        <r>
          <rPr>
            <sz val="9"/>
            <color indexed="81"/>
            <rFont val="Tahoma"/>
            <family val="2"/>
          </rPr>
          <t xml:space="preserve">
Assume 1.0</t>
        </r>
      </text>
    </comment>
    <comment ref="Q2" authorId="0" shapeId="0" xr:uid="{2BC21921-BC4A-43F4-9EFE-D4AE6A239593}">
      <text>
        <r>
          <rPr>
            <b/>
            <sz val="9"/>
            <color indexed="81"/>
            <rFont val="Tahoma"/>
            <family val="2"/>
          </rPr>
          <t>Laura Diemer:</t>
        </r>
        <r>
          <rPr>
            <sz val="9"/>
            <color indexed="81"/>
            <rFont val="Tahoma"/>
            <family val="2"/>
          </rPr>
          <t xml:space="preserve">
Use Vegetated Buffer efficiency</t>
        </r>
      </text>
    </comment>
    <comment ref="G11" authorId="0" shapeId="0" xr:uid="{BA1CE2E8-FBE7-449A-A8A7-E8364EAB528A}">
      <text>
        <r>
          <rPr>
            <b/>
            <sz val="9"/>
            <color indexed="81"/>
            <rFont val="Tahoma"/>
            <family val="2"/>
          </rPr>
          <t>Laura Diemer:</t>
        </r>
        <r>
          <rPr>
            <sz val="9"/>
            <color indexed="81"/>
            <rFont val="Tahoma"/>
            <family val="2"/>
          </rPr>
          <t xml:space="preserve">
Road shoulder sand erosion visible after one large storm</t>
        </r>
      </text>
    </comment>
    <comment ref="G12" authorId="0" shapeId="0" xr:uid="{A3A3847D-9963-454D-BEFF-AC3B0A580F2E}">
      <text>
        <r>
          <rPr>
            <b/>
            <sz val="9"/>
            <color indexed="81"/>
            <rFont val="Tahoma"/>
            <family val="2"/>
          </rPr>
          <t>Laura Diemer:</t>
        </r>
        <r>
          <rPr>
            <sz val="9"/>
            <color indexed="81"/>
            <rFont val="Tahoma"/>
            <family val="2"/>
          </rPr>
          <t xml:space="preserve">
Road shoulder sand erosion visible after one large storm</t>
        </r>
      </text>
    </comment>
    <comment ref="G16" authorId="0" shapeId="0" xr:uid="{41CDE034-E26B-460B-902D-2EF09F80ABD2}">
      <text>
        <r>
          <rPr>
            <b/>
            <sz val="9"/>
            <color indexed="81"/>
            <rFont val="Tahoma"/>
            <family val="2"/>
          </rPr>
          <t>Laura Diemer:</t>
        </r>
        <r>
          <rPr>
            <sz val="9"/>
            <color indexed="81"/>
            <rFont val="Tahoma"/>
            <family val="2"/>
          </rPr>
          <t xml:space="preserve">
Road shoulder sand erosion visible after one large storm</t>
        </r>
      </text>
    </comment>
    <comment ref="G17" authorId="0" shapeId="0" xr:uid="{2B2EFE45-76C6-4F5E-B47F-FB26BAD64EFA}">
      <text>
        <r>
          <rPr>
            <b/>
            <sz val="9"/>
            <color indexed="81"/>
            <rFont val="Tahoma"/>
            <family val="2"/>
          </rPr>
          <t>Laura Diemer:</t>
        </r>
        <r>
          <rPr>
            <sz val="9"/>
            <color indexed="81"/>
            <rFont val="Tahoma"/>
            <family val="2"/>
          </rPr>
          <t xml:space="preserve">
Road shoulder sand erosion visible after one large storm</t>
        </r>
      </text>
    </comment>
    <comment ref="G18" authorId="0" shapeId="0" xr:uid="{77BC095E-DF96-4BAC-96D6-0063652DB753}">
      <text>
        <r>
          <rPr>
            <b/>
            <sz val="9"/>
            <color indexed="81"/>
            <rFont val="Tahoma"/>
            <family val="2"/>
          </rPr>
          <t>Laura Diemer:</t>
        </r>
        <r>
          <rPr>
            <sz val="9"/>
            <color indexed="81"/>
            <rFont val="Tahoma"/>
            <family val="2"/>
          </rPr>
          <t xml:space="preserve">
Road shoulder sand erosion visible after one large storm</t>
        </r>
      </text>
    </comment>
  </commentList>
</comments>
</file>

<file path=xl/sharedStrings.xml><?xml version="1.0" encoding="utf-8"?>
<sst xmlns="http://schemas.openxmlformats.org/spreadsheetml/2006/main" count="1749" uniqueCount="482">
  <si>
    <t>LAT</t>
  </si>
  <si>
    <t>LONG</t>
  </si>
  <si>
    <t>SITE_ID</t>
  </si>
  <si>
    <t>SURVEYOR</t>
  </si>
  <si>
    <t>Fred Quimby</t>
  </si>
  <si>
    <t>DATE</t>
  </si>
  <si>
    <t>183 North Shore Rd, erosion from road surface/shoulder over culvert</t>
  </si>
  <si>
    <t>108 South Shore Rd, erosion of ditch allows sand to move over the road</t>
  </si>
  <si>
    <t>378 South Shore Rd, buried culvert</t>
  </si>
  <si>
    <t>388 South Shore Rd, crushed culverts</t>
  </si>
  <si>
    <t>284 South Shore Rd, culvert erosion/collapse</t>
  </si>
  <si>
    <t>ALIAS</t>
  </si>
  <si>
    <t>2-06</t>
  </si>
  <si>
    <t>Fred Quimby &amp; Forrest Bell</t>
  </si>
  <si>
    <t>6/29/2018 &amp; 8/23/2018</t>
  </si>
  <si>
    <t>253 North Shore Rd, road shoulder/ditch erosion into unstable culvert and stream</t>
  </si>
  <si>
    <t>Stabilize inlet/outlet, install and armor ditch with stone, install sediment basin and check dams</t>
  </si>
  <si>
    <t>2-05</t>
  </si>
  <si>
    <t>2-01</t>
  </si>
  <si>
    <t>2-09</t>
  </si>
  <si>
    <t>2-07</t>
  </si>
  <si>
    <t>8/19/2018 &amp; 8/23/2018</t>
  </si>
  <si>
    <t>8/18/2018 &amp; 8/23/2018</t>
  </si>
  <si>
    <t>2-02</t>
  </si>
  <si>
    <t>2-03</t>
  </si>
  <si>
    <t>2-04</t>
  </si>
  <si>
    <t>Forrest Bell</t>
  </si>
  <si>
    <t>2-08</t>
  </si>
  <si>
    <t>RECOMMENDATIONS</t>
  </si>
  <si>
    <t>DESCRIPTION OF PROBLEM</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</si>
  <si>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</si>
  <si>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</si>
  <si>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</si>
  <si>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</si>
  <si>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</si>
  <si>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</si>
  <si>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</si>
  <si>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</si>
  <si>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</si>
  <si>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</si>
  <si>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</si>
  <si>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</si>
  <si>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</si>
  <si>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</si>
  <si>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</si>
  <si>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</si>
  <si>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</si>
  <si>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</si>
  <si>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</si>
  <si>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</si>
  <si>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</si>
  <si>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</si>
  <si>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</si>
  <si>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</si>
  <si>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</si>
  <si>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</si>
  <si>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Laura Diemer</t>
  </si>
  <si>
    <t>45 South Shore Rd, extensive ditch erosion about 100 feet from the lake, culvert has catch basin on the other side of road that is not cleaned regularly</t>
  </si>
  <si>
    <t>Clean out catch basin, line ditch and inflows with riprap (or vegetate ditch and install check dams)</t>
  </si>
  <si>
    <t>South Shore Rd across from public beach, overflow parking entrance and road shoulder/ditch erosion, flows into Site #4</t>
  </si>
  <si>
    <t>Culvert at the beginning of South Shore Rd, roadside erosion downhill (from Site #3) to culvert causing blockage and sediment deposition to river</t>
  </si>
  <si>
    <t>Enlarge and lengthen culvert, install plunge pool/sediment basin, stabilize inlet and outlet with riprap, armor ditch with vegetation/check dams and/or riprap</t>
  </si>
  <si>
    <t>Install turnouts or open top culverts to divert water off overflow parking entrance drive, armor ditches with vegetation/check dams and/or riprap</t>
  </si>
  <si>
    <t>High</t>
  </si>
  <si>
    <t>Med</t>
  </si>
  <si>
    <t>Divert and treat flows from upstream contributing sources first, consider pull-off area for riprap settling basin</t>
  </si>
  <si>
    <t>Bridge on Merrymeeting Rd below the dam, water runs from state boat landing parking lot and Powder Mill Rd to river, gully formation on parking lot and poor ditch formation evident</t>
  </si>
  <si>
    <t>Fred Quimby &amp; Laura Diemer</t>
  </si>
  <si>
    <t>6/28/2018 &amp; 9/27/2018</t>
  </si>
  <si>
    <t>Fred Quimby &amp; Forrest Bell &amp; Laura Diemer</t>
  </si>
  <si>
    <t>6/28/2018 &amp; 8/23/2018 &amp; 9/27/2018</t>
  </si>
  <si>
    <t>302 Merrymeeting Rd, concentrated flowpath from road to lake</t>
  </si>
  <si>
    <t>Armor ditch with vegetation/check dams and/or riprap, install turnout</t>
  </si>
  <si>
    <t>15 Meaders Point Rd, washed out parking area across road flows down camp steps into lake, early Sept 2018 storm eroded 2 yards of aggregate down embankment to lake, site located at bottom of two small hills, water is pitched from the road to the stairs of a house</t>
  </si>
  <si>
    <t>Regrade road to divert water away from lake to a catch basin with infiltration field</t>
  </si>
  <si>
    <t>31 Meaders Point Rd, stormwater erodes roadside downhill from owner's culvert which carries water/sediment directly into the lake</t>
  </si>
  <si>
    <t>Divert water away from lake to a catch basin with infiltration field</t>
  </si>
  <si>
    <t>87 North Shore Rd, steep ditch erosion buried culvert</t>
  </si>
  <si>
    <t>Clean out culvert and ditch, armor ditch with vegetation/check dams and/or riprap</t>
  </si>
  <si>
    <t>1 Owls Head Rd, erosion buried culvert, hay bales and silt fencing present but not functioning</t>
  </si>
  <si>
    <t>151 North Shore Rd, steep shoulder/ditch erosion</t>
  </si>
  <si>
    <t>115 North Shore Rd, road shoulder/ditch erosion</t>
  </si>
  <si>
    <t>Low</t>
  </si>
  <si>
    <t>371 Merrymeeting Rd at Mt Bet Brook, roadside erosion downhill to culvert directly into lake</t>
  </si>
  <si>
    <t>North Shore Rd, large sediment plume at buried culvert</t>
  </si>
  <si>
    <t>113 South Shore Rd, same erosion as Site #18 but further down the road, sand fills a catch basin which empties to lake</t>
  </si>
  <si>
    <t>118 South Shore Rd, erosion of ditch and roadside bank directly into lake, gully formation evident</t>
  </si>
  <si>
    <t>Stabilize shore area by rebuilding slope and staking coir logs and vegetation down to water, place riprap at toe of slope</t>
  </si>
  <si>
    <t>Enlarge and lengthen culvert, stabilize inlet and outlet with riprap, armor ditch with vegetation/check dams and/or riprap</t>
  </si>
  <si>
    <t>343 South Shore Rd, steep bank erosion into buried culvert</t>
  </si>
  <si>
    <t>Armor ditch with vegetation/check dams and/or riprap, install settling basin</t>
  </si>
  <si>
    <t>300 South Shore Rd, road erosion into bank and down into property undermining road</t>
  </si>
  <si>
    <t>Stabilize and armor road shoulder, install turnout/settling basin</t>
  </si>
  <si>
    <t>298 South Shore Rd, road shoulder erosion onto property</t>
  </si>
  <si>
    <t>292 South Shore Rd, road erosion onto steep sloped property at two locations</t>
  </si>
  <si>
    <t>Stabilize and armor road shoulder and access, install turnout/settling basin</t>
  </si>
  <si>
    <t>400 ft from Sunset Dr on South Shore Rd, road shoulder erosion over unstable culvert outlet</t>
  </si>
  <si>
    <t>Stabilize and armor road shoulder, install turnout/settling basin, recrown road to divert flows away from overtopping culvert</t>
  </si>
  <si>
    <t>100 ft from Sunset Dr on South Shore Rd, road shoulder erosion to culvert</t>
  </si>
  <si>
    <t>140 South Shore Rd, road edge crumbling from flows carrying sediment from road to private driveway near the lake</t>
  </si>
  <si>
    <t>5/17/2018 &amp; 8/23/2018</t>
  </si>
  <si>
    <t>Merrymeeting Rd Bridge (north runoff), road shoulder and ditch erosion, state-owned with multiple raceways to direct stormwater to river</t>
  </si>
  <si>
    <t>Merrymeeting Rd Bridge (south runoff), road shoulder and ditch erosion, state-owned with multiple raceways to direct stormwater to river</t>
  </si>
  <si>
    <t>Main Street Bridge downstream of Downing Pond, broken bridge sides allowing stormwater to run into river, two ends of bridge have state-paved raceway for stormwater coming down the street to be diverted directly into the river</t>
  </si>
  <si>
    <t>Repair bridge and divert raceways to infiltration area</t>
  </si>
  <si>
    <t>46 South Shore Rd, poor roadside ditching allows erosion of shoulder across the road near the lake</t>
  </si>
  <si>
    <t>Create and armor ditch with vegetation/check dams and/or riprap</t>
  </si>
  <si>
    <t>Tributary to Coffin Brook off Stockbridge Corner Rd showed eroded streambank and debris on banks, road erosion into stream at culvert</t>
  </si>
  <si>
    <t>Stabilize and armor road shoulder, install turnout/settling basin, investigate changes in stream geomorphology</t>
  </si>
  <si>
    <t>Streambank erosion at 510 Stockbridge Corner Rd, bank toe scouring/undercutting from high flows (degradation and widening)</t>
  </si>
  <si>
    <t>Investigate changes in stream geomorphology</t>
  </si>
  <si>
    <t>188 Stockbridge Corner Rd, roadside erosion to culvert</t>
  </si>
  <si>
    <t>8/19/2018 &amp; 9/27/2018</t>
  </si>
  <si>
    <t>Coffin Brook Rd stream crossing, road at slight grade, sediment runoff from road with concentrated flowpaths (including paved channels) to stream</t>
  </si>
  <si>
    <t>8/19/2018 &amp; 8/23/2018 &amp; 9/27/2018</t>
  </si>
  <si>
    <t>Letter S Rd at Rt 140 (near Alton Fire Depart), narrow section of land between Mill Pond and Merrymeeting R, Alton road agent is aware and has attempted fixes, but large underwater stone culvert passes water from Mill Pond to the river, Mill Pond impacted by historic laundromat point source, road shoulder erosion and minimal buffer between road and water</t>
  </si>
  <si>
    <t>Armor shoulder with stone or grass, stabilize banks, install erosion controls, add to buffer</t>
  </si>
  <si>
    <t>Letter S Rd (near the Alton Highway Depart), road shoulder erosion into Merrymeeting River, minimal buffer between road and water, high-use fishing area, several concentrated stormwater flowpaths, runoff from Alton Highway Depart side access drive, likely jumping road to river</t>
  </si>
  <si>
    <t>Merrymeeting River boat access ramp off Merrymeeting Rd downstream of fish hatchery, surface erosion</t>
  </si>
  <si>
    <t>Fish hatchery driveway, road surface erosion of driveway by river</t>
  </si>
  <si>
    <t>Add pavement and grade, install turnout</t>
  </si>
  <si>
    <t>Alton Power Dam by NHFGD, poor/degraded buffer (grass clippings in water, mowed grass on both sides of dam)</t>
  </si>
  <si>
    <t>Vegetate shoulder, plant/improve buffer (with pollinator garden similar to one nearby)</t>
  </si>
  <si>
    <t>Kendra Ln, steep road grade to South Shore 3rd with gully formation and loose gravel</t>
  </si>
  <si>
    <t>Stabilize road shoulders and ditches with riprap/vegetation, install turnouts and open top culverts</t>
  </si>
  <si>
    <t>Jones Recreation parking area, runoff from road to rec area access, rills and sheet flow evident</t>
  </si>
  <si>
    <t>Install turnout and settling basin</t>
  </si>
  <si>
    <t>End of Riverside Rd, gully formation and sheet flow down steep private driveway</t>
  </si>
  <si>
    <t>Install turnouts and/or open top culverts, consider catch basin with infiltration field</t>
  </si>
  <si>
    <t xml:space="preserve">Halls Hill Rd, road shoulder runoff to ditch with gully formation </t>
  </si>
  <si>
    <t>Install and armor road shoulder and ditches with turnouts to settling basins</t>
  </si>
  <si>
    <t>Horne Rd, gravel road without defined shoulder and ditch causing gully formation on slight grade, sand plume forming at end of rock wall heading into field</t>
  </si>
  <si>
    <t>Horne Rd, gully formation sending sediment plume down road without proper shoulder and ditch to stream crossing (upstream), water feeding stream from opposite road ditch, across road is steep bank with washed out material</t>
  </si>
  <si>
    <t>Horne Rd, improper shoulder and ditch formation leading to erosion issues</t>
  </si>
  <si>
    <t>725 Rt 140, gully erosion of driveway, stream crossing to other side of drive</t>
  </si>
  <si>
    <t>Install turnouts and/or open top culverts with armored ditching</t>
  </si>
  <si>
    <t>Halls Hill Rd, ditch gully erosion</t>
  </si>
  <si>
    <t>Along Rt 140 at Irving Oil Company entrance, pool formation with large sand patch</t>
  </si>
  <si>
    <t>Minimize and define entrance (vegetate rest), install settling basin at pool</t>
  </si>
  <si>
    <t>Stone Meadow Commons, new development road leads down steep grade without good ditch or shoulder formation</t>
  </si>
  <si>
    <t>Rt 140, gully ditch erosion from Rt 140 and driveway across Rt 140, runs off into woods as concentrated flowpath to stream</t>
  </si>
  <si>
    <t>Mill Pond parking area, pool formation at low spots and eroding launch point with minimal buffer</t>
  </si>
  <si>
    <t>Add to buffer, stabilize access point, regrade and install infiltration drainages around parking area</t>
  </si>
  <si>
    <t>Pine St, dirt trail access with paved stormwater routing to river from private property at end of Pine St</t>
  </si>
  <si>
    <t>Remove paved stormwater channel, install turnouts to vegetated/riprap infiltration areas</t>
  </si>
  <si>
    <t>Alton Central School, opportunity for some visible improvements - demonstration site</t>
  </si>
  <si>
    <t>Reconfigure parking lot drainage so that stormwater is directed to multiple rain gardens in current grassed medians</t>
  </si>
  <si>
    <t>Vacant commercial lot at Village Circle, very steep slope with loose gravel</t>
  </si>
  <si>
    <t xml:space="preserve">Barnes Ave, private drive gully erosion, runoff across road with sediment plume and deep gully formation, plow debris </t>
  </si>
  <si>
    <t>Stabilize loose gravel on hillslope, ensure proper construction BMPs implemented</t>
  </si>
  <si>
    <t>Baxter Place, road erosion with rills near water, exposed mulch pile, loose gravel off side of the road along wood edge</t>
  </si>
  <si>
    <t>Ehlen Way, new road with significant erosion, some hay bales, mulch, and riprap in place, but not effective enough</t>
  </si>
  <si>
    <t>Stockbridge Corner Rd, deep gully ditch erosion on both sides with flow in one ditch and from property with pipe and riprap (headwater stream?)</t>
  </si>
  <si>
    <t>Stockbridge Corner Rd, deep gully ditch erosion</t>
  </si>
  <si>
    <t>Stockbridge Corner Rd, minimal buffer between road and channelized stream with bank undercutting</t>
  </si>
  <si>
    <t>Add to buffer, stabilize and build up banks, consider redirecting/meandering stream channel or adding roughness to slow flows</t>
  </si>
  <si>
    <t>Stockbridge Corner Rd, gully formation with evidence of significant flow and sediment deposition, stream nearby</t>
  </si>
  <si>
    <t>Stockbridge Corner Rd, steep slope construction leading to ponded area on road surface</t>
  </si>
  <si>
    <t>Chamberlain Rd, road surface, shoulder, and ditch erosion with sediment plumes leading out to wooded area</t>
  </si>
  <si>
    <t>New Durham Rd, driveway erosion from road runoff and recent earth movement around ditch and culvert</t>
  </si>
  <si>
    <t>Armor road shoulder and ditch with riprap and/or vegetation</t>
  </si>
  <si>
    <t xml:space="preserve">Russell Way at Moore Farm, driveway entrance erosion </t>
  </si>
  <si>
    <t>Install turnouts and settling basins/rain gardens</t>
  </si>
  <si>
    <t>Penny Ln, road shoulder erosion on steep grade</t>
  </si>
  <si>
    <t>Stabilize road shoulder material and install turnouts from road to ditches at multiple locations</t>
  </si>
  <si>
    <t>Across from Penny Ln entrance, gravel road with loose material and minimal ditching, possibly for logging</t>
  </si>
  <si>
    <t>Merrymeeting Rd, minimal buffer with road elevation close to water, multiple water access points that could be stabilized</t>
  </si>
  <si>
    <t>Main St by Downing Pond dam, access unstable with abandoned eroding pavement and gravel</t>
  </si>
  <si>
    <t>Regrade road elevation higher, add to buffer and build up/stabilize river bank, stabilize access points</t>
  </si>
  <si>
    <t>Minimize and define access point and gravel area (for parking possibly), add to buffer and build up/stabilize river banks</t>
  </si>
  <si>
    <t>New Durham Sports Complex on Smittys Way, road runoff</t>
  </si>
  <si>
    <t>Birch Hill Rd, road shoulder erosion down Smith Ln</t>
  </si>
  <si>
    <t>Rank</t>
  </si>
  <si>
    <t>3-01</t>
  </si>
  <si>
    <t>3-02</t>
  </si>
  <si>
    <t>3-03</t>
  </si>
  <si>
    <t>3-04</t>
  </si>
  <si>
    <t>3-05</t>
  </si>
  <si>
    <t>3-07</t>
  </si>
  <si>
    <t>3-06</t>
  </si>
  <si>
    <t>3-08</t>
  </si>
  <si>
    <t>3-09</t>
  </si>
  <si>
    <t>IMPACT</t>
  </si>
  <si>
    <t>Region 5</t>
  </si>
  <si>
    <t>Top Width_ft</t>
  </si>
  <si>
    <t>Bottom Width_ft</t>
  </si>
  <si>
    <t>Depth_ft</t>
  </si>
  <si>
    <t>Length_ft</t>
  </si>
  <si>
    <t>No_Yrs</t>
  </si>
  <si>
    <t>Soil Texture Class</t>
  </si>
  <si>
    <t>Height_ft</t>
  </si>
  <si>
    <t>Lat Rec Rate_ftyr</t>
  </si>
  <si>
    <t>BMP_Eff</t>
  </si>
  <si>
    <t>HbE</t>
  </si>
  <si>
    <t>HlE</t>
  </si>
  <si>
    <t>GtD</t>
  </si>
  <si>
    <t>613A</t>
  </si>
  <si>
    <t>47C</t>
  </si>
  <si>
    <t>478B</t>
  </si>
  <si>
    <t>166C</t>
  </si>
  <si>
    <t>647B</t>
  </si>
  <si>
    <t>458B</t>
  </si>
  <si>
    <t>480B</t>
  </si>
  <si>
    <t>480C</t>
  </si>
  <si>
    <t>459C</t>
  </si>
  <si>
    <t>443B</t>
  </si>
  <si>
    <t>GsC</t>
  </si>
  <si>
    <t>GsB</t>
  </si>
  <si>
    <t>443C</t>
  </si>
  <si>
    <t>MUSYM</t>
  </si>
  <si>
    <t>Fine Sandy Loam</t>
  </si>
  <si>
    <t>Sandy Loam</t>
  </si>
  <si>
    <t>Loamy Sand</t>
  </si>
  <si>
    <t>TOTAL:</t>
  </si>
  <si>
    <t>Gully Stabilization</t>
  </si>
  <si>
    <t>Bank Stabilization</t>
  </si>
  <si>
    <t>Soil</t>
  </si>
  <si>
    <t>From Data</t>
  </si>
  <si>
    <t>Simple Method</t>
  </si>
  <si>
    <t>MODEL</t>
  </si>
  <si>
    <t>TSS_lbsyr</t>
  </si>
  <si>
    <t>TP_lbsyr</t>
  </si>
  <si>
    <t>TN_lbsyr</t>
  </si>
  <si>
    <t>Combined with #3</t>
  </si>
  <si>
    <t>Sands, loamy sands</t>
  </si>
  <si>
    <t>Load Reductions</t>
  </si>
  <si>
    <t>kg</t>
  </si>
  <si>
    <t>TSS_tonsyr</t>
  </si>
  <si>
    <t>Stabilize state boat landing parking lot, armor ditches with vegetation/check dams and/or riprap, recrown road to keep runoff from crossing the road, install settling basins and turnouts or a catch basin and cross culvert from Powder Mill Rd</t>
  </si>
  <si>
    <t>Est. Low Cost</t>
  </si>
  <si>
    <t>Est. High Cost</t>
  </si>
  <si>
    <t>Est. Avg. Cost</t>
  </si>
  <si>
    <t>IMPACT_V</t>
  </si>
  <si>
    <t>Armor ditch with vegetation/check dams and/or riprap, install turnout or infiltration catch basin</t>
  </si>
  <si>
    <t>DISCLAIMER: POLLUTANT LOAD REDUCTION AND IMPLEMENTATION COST ESTIMATES ARE PRELIMINARY AND FOR PLANNING PURPOSES ONLY</t>
  </si>
  <si>
    <t>WBODY</t>
  </si>
  <si>
    <t>Town</t>
  </si>
  <si>
    <t>TOWN</t>
  </si>
  <si>
    <t>OWNER</t>
  </si>
  <si>
    <t>RECC_TYPE</t>
  </si>
  <si>
    <t>PROB_TYPE</t>
  </si>
  <si>
    <t>New Durham</t>
  </si>
  <si>
    <t>Alton</t>
  </si>
  <si>
    <t>MM Lake</t>
  </si>
  <si>
    <t>MM River</t>
  </si>
  <si>
    <t>Marsh Pond / MM River</t>
  </si>
  <si>
    <t>Coffin Br</t>
  </si>
  <si>
    <t>Indirect</t>
  </si>
  <si>
    <t>Trib to MM River</t>
  </si>
  <si>
    <t>Mill Pond</t>
  </si>
  <si>
    <t>Wetland</t>
  </si>
  <si>
    <t>Jones Pond</t>
  </si>
  <si>
    <t>250FT_WATER</t>
  </si>
  <si>
    <t>Y</t>
  </si>
  <si>
    <t>N</t>
  </si>
  <si>
    <t>Y-field obs</t>
  </si>
  <si>
    <t>Town / NHDOT</t>
  </si>
  <si>
    <t>Town / NHDOT / NHFGD</t>
  </si>
  <si>
    <t>NHDOT</t>
  </si>
  <si>
    <t>NHFGD</t>
  </si>
  <si>
    <t>Private</t>
  </si>
  <si>
    <t>Town / Private</t>
  </si>
  <si>
    <t>Cost Per Lb. P</t>
  </si>
  <si>
    <t>Town Beach, new catch basin installed in 2018 to catch rainwater before going into the lake, ponding around catch basin, but eventually infiltrates</t>
  </si>
  <si>
    <t>Regularly clean out catch basin to ensure long-term function</t>
  </si>
  <si>
    <t>Parking Area</t>
  </si>
  <si>
    <t>Maintenance</t>
  </si>
  <si>
    <t>Driveway</t>
  </si>
  <si>
    <t>Turnouts; Settling Basins</t>
  </si>
  <si>
    <t>Armor Ditches; Turnouts; Settling Basins</t>
  </si>
  <si>
    <t>Road</t>
  </si>
  <si>
    <t>Stabilize culvert inlet/outlet, armor ditch with vegetation/riprap</t>
  </si>
  <si>
    <t>Culvert</t>
  </si>
  <si>
    <t>Stabilize In/Out; Armor Ditches</t>
  </si>
  <si>
    <t>Road / Parking Area</t>
  </si>
  <si>
    <t>Armor Ditches</t>
  </si>
  <si>
    <t>Buffer</t>
  </si>
  <si>
    <t>Stockbridge Corner Rd, deep gully ditch erosion on both sides with flow in one ditch and from property with pipe and riprap (high groundwater; ephermeal/intermittant drainage through ditch to stream)</t>
  </si>
  <si>
    <t>Maintain boat access ramp (local groups repaved with recycled asphalt with infiltration pavers at launch)</t>
  </si>
  <si>
    <t>Stabilize steep slopes and loose gravel with vegetation/riprap, install and armor road shoulder and ditches with turnouts to settling basins</t>
  </si>
  <si>
    <t>Water Access Point</t>
  </si>
  <si>
    <t>Stabilize Shoulder; Turnouts; Settling Basins</t>
  </si>
  <si>
    <t>Buffer; Regrade; Infiltration Basins</t>
  </si>
  <si>
    <t>Road / Culvert</t>
  </si>
  <si>
    <t>Stabilize In/Out; Armor Ditches; Turnouts; Settling Basins</t>
  </si>
  <si>
    <t>Bridge on Merrymeeting Rd below the dam, water runs down South Shore Rd (and some from the boat landing parking lot/Powder Mill Rd) and empties into the river (concentrated stormwater flowpath from catch basin carrying sediment), contributing flows from Site #4 and #6</t>
  </si>
  <si>
    <t>Combined with #5</t>
  </si>
  <si>
    <t>Clean Out; Armor Ditches</t>
  </si>
  <si>
    <t>US tons</t>
  </si>
  <si>
    <t>Water Access Point / Parking Area</t>
  </si>
  <si>
    <t>Road / Driveway</t>
  </si>
  <si>
    <t>Turnouts; Settling Basins; Infiltration Basin</t>
  </si>
  <si>
    <t>Stream</t>
  </si>
  <si>
    <t>Stabilize Bank</t>
  </si>
  <si>
    <t>Repair; Infiltration Basin</t>
  </si>
  <si>
    <t>Road / Bridge</t>
  </si>
  <si>
    <t>Buffer; Infiltration Basin</t>
  </si>
  <si>
    <t>Vacant Lot</t>
  </si>
  <si>
    <t>Stabilize Hillslope</t>
  </si>
  <si>
    <t>Bioretention</t>
  </si>
  <si>
    <t>Regrade; Infiltration Basin</t>
  </si>
  <si>
    <t>Regrade; Armor Ditches; Turnouts; Settling Basins</t>
  </si>
  <si>
    <t>725 Rt 140, gully erosion off driveway, stream crossing to other side of drive</t>
  </si>
  <si>
    <t>COLUMN NAME</t>
  </si>
  <si>
    <t>DESCRIPTION</t>
  </si>
  <si>
    <t>Unique site identification</t>
  </si>
  <si>
    <t>Priority ranking for implementation (based on Impact Weighted Cost Per Lb. P)</t>
  </si>
  <si>
    <t>Impact Weighted Cost Per Lb. P</t>
  </si>
  <si>
    <t>Alternative site identification (used in photos)</t>
  </si>
  <si>
    <t>Latitudinal coordinate location</t>
  </si>
  <si>
    <t>Longitudinal coordinate location</t>
  </si>
  <si>
    <t>Individual(s) who surveyed the site</t>
  </si>
  <si>
    <t>Date site was surveyed</t>
  </si>
  <si>
    <t>Waterbody that the site drains to; Indirect = drainage from site does not directly enter a surface waterbody</t>
  </si>
  <si>
    <t>Indicates whether a site is located within 250 feet of a surface waterbody (including NWI wetlands, NHD streams and waterbodies); Y=Yes; N=No; Y-field obs=Field observations noted site drainage to unmapped surface water</t>
  </si>
  <si>
    <t>Town the site is located in</t>
  </si>
  <si>
    <t>Owner(s) of the site</t>
  </si>
  <si>
    <t>Impact rating; Rated sites as high if discharge to MM River, Trib to MM River, Coffin Brook, Jones Pond, and Marsh Pond, medium if discharge to MM Lake, and low if discharge to Indirect or Wetland</t>
  </si>
  <si>
    <t xml:space="preserve">Impact rating value; High=1 or &lt;1, Med=2, Low=3, 4, or 5; adjusted High values to &lt;1 if site deemed more of a priority </t>
  </si>
  <si>
    <t>Model used to calculate pollutant load reductions</t>
  </si>
  <si>
    <t>Brief description of conceptual recommendations for implementation fixes</t>
  </si>
  <si>
    <t>Brief description of the nonpoint source pollution problem</t>
  </si>
  <si>
    <t>General category for problem</t>
  </si>
  <si>
    <t>General category for implementation fix</t>
  </si>
  <si>
    <t>Total phosphorus load reduction estimate in lbs. per year</t>
  </si>
  <si>
    <t>Total suspended sediment load reduction estimate in lbs. per year</t>
  </si>
  <si>
    <t>Total nitrogen load reduction estimate in lbs. per year</t>
  </si>
  <si>
    <t>Estimated implementation cost (low range)</t>
  </si>
  <si>
    <t>Estimated implementation cost (high range)</t>
  </si>
  <si>
    <t>Estimated implementation cost (average)</t>
  </si>
  <si>
    <t>Estimated average implementation cost per lb. of phosphorus reduced</t>
  </si>
  <si>
    <t>Impact-weighted estimated average implementation cost per lb. of phosphorus reduced</t>
  </si>
  <si>
    <t>Route 11, runoff from the highway eroded a sand bank into the river, located at boat landing off Rt 11 near Johnson's Restaurant</t>
  </si>
  <si>
    <t>Brian Laverierre and Jonas Procton</t>
  </si>
  <si>
    <t>Outfall from drainage network including Rt 140, Church St, Pine St, School St, and Alton Central School. Minor erosion at School St. Outfall, Sediment accumulation clogging outfall, salting/sanding of road</t>
  </si>
  <si>
    <t>Road / Culvert / Parking Area</t>
  </si>
  <si>
    <t>Pavement reduction on School St, flow-in/flow-out bioswales on Pine St, School St, and Church St, rain garden at Alton Community Church, permeable pavement retrofit, pretreatment and maintenance</t>
  </si>
  <si>
    <t>NHDOT / Private</t>
  </si>
  <si>
    <t>Bituminious berm at 189 Main St to promote positive drainage into existing catch basin, protect natural drainage conveyance system behind 177 Main St</t>
  </si>
  <si>
    <t>Regrade/Berm; Armor Ditches</t>
  </si>
  <si>
    <t>Install roadside rain garden to collect and treat road runoff, promote positive drainage into existing catch basin, permeable pavement retrofit</t>
  </si>
  <si>
    <t>Bioretention; Regrade; Permeable Pavement</t>
  </si>
  <si>
    <t>Formalize basin and sediment trap within landscape island at Letter S Road, perform routine maintenance</t>
  </si>
  <si>
    <t>MP1</t>
  </si>
  <si>
    <t>MP4</t>
  </si>
  <si>
    <t>MP5</t>
  </si>
  <si>
    <t>MP6</t>
  </si>
  <si>
    <t>MP10</t>
  </si>
  <si>
    <t>MP11</t>
  </si>
  <si>
    <t>MP12</t>
  </si>
  <si>
    <t>MP13</t>
  </si>
  <si>
    <t>MP14</t>
  </si>
  <si>
    <t>Settling Basin; Forebay; Mainteance</t>
  </si>
  <si>
    <t>Letter S Road and Highway department facilities, loose aggregate parking areas, storage of equipment and materials within shoreland buffer, lack of stormwater controls, lack of defined input source to implement stormwater controls</t>
  </si>
  <si>
    <t>Outfall at Rt 140, untreated road runoff, direct discharge from culvert, sediment accumulation clogging culverts, lack of routine maintenance, salting/sanding of roadway</t>
  </si>
  <si>
    <t>Outfall at 55 Rt 140, untreated road runoff, direct discharge from culvert, sediment accumulation clogging culverts, lack of routine maintenance, salting/sanding of roadway</t>
  </si>
  <si>
    <t>3 Hutchins Circle, road runoff flows down loose aggregate driveway, minor bank erosion</t>
  </si>
  <si>
    <t>Control road runoff on Mooney St and Hutchins Circle to prevent road runoff from eroding driveways/private property</t>
  </si>
  <si>
    <t>Drain Network</t>
  </si>
  <si>
    <t>MP7</t>
  </si>
  <si>
    <t>MP8</t>
  </si>
  <si>
    <t>MP9</t>
  </si>
  <si>
    <t>MP2</t>
  </si>
  <si>
    <t>MP3</t>
  </si>
  <si>
    <t>Town / NHDOT / Private</t>
  </si>
  <si>
    <t>Profile Bank, runoff managed by retention pond</t>
  </si>
  <si>
    <t>Outfall at 235 Main St</t>
  </si>
  <si>
    <t>Outfall along Main St</t>
  </si>
  <si>
    <t>Structural BMP Curve</t>
  </si>
  <si>
    <t>A</t>
  </si>
  <si>
    <t>B</t>
  </si>
  <si>
    <t>Primary Pollutant Control Type</t>
  </si>
  <si>
    <t>Does not drain to Mill Pond</t>
  </si>
  <si>
    <t>Overland flow into Mill Pond</t>
  </si>
  <si>
    <t>Drainage area description</t>
  </si>
  <si>
    <t>Assumed drainage area impervious cover (acre)</t>
  </si>
  <si>
    <t>Outfall to Mill Pond</t>
  </si>
  <si>
    <t>Drainage area managed by retention pond</t>
  </si>
  <si>
    <t>Surface infiltration, 2.41 in/hr</t>
  </si>
  <si>
    <t>Surface infiltration, 1.02 in/hr</t>
  </si>
  <si>
    <t>Road. Paved drop-off area in front of Alton Central School</t>
  </si>
  <si>
    <t>Design volume (cf)</t>
  </si>
  <si>
    <t>Land Use</t>
  </si>
  <si>
    <t>Commercial and Industrial</t>
  </si>
  <si>
    <t>No erosion at outfall behind Main St Laundry; gully erosion from surface flow at top of bank behind existing parking lot/stockpile area behind laundromat; loose aggregate parking/storage yard at rear of property</t>
  </si>
  <si>
    <t>Outfall at 189 Main St; state road runoff bypasses catch basins, overland flow across loose aggregate on homeowner's driveway is eroding; severe channel erosion, washing sediment into swale; swale manages the run-on that reaches it but may have issues with sediment buildup in swale</t>
  </si>
  <si>
    <t>Erosion control - gully stabilization</t>
  </si>
  <si>
    <t>Outfall at 199 Main St; Minor erosion at outfall; Main Street runoff bypasses catch basin, flows over gravel parking area and path, causing erosion and sedimentation</t>
  </si>
  <si>
    <t>Discharge description</t>
  </si>
  <si>
    <t>Road and gravel parking lot</t>
  </si>
  <si>
    <t>Commercial</t>
  </si>
  <si>
    <t>P Baseload (lb P/yr)</t>
  </si>
  <si>
    <t>N Baseload (lb N/yr)</t>
  </si>
  <si>
    <t>P reduction (lb P/yr)</t>
  </si>
  <si>
    <t>N reduction (lb N/yr)</t>
  </si>
  <si>
    <t>Sediment to phosphorus weight conversion (lb P/lb sediment) (from VTDEC erosion crediting)</t>
  </si>
  <si>
    <t>Convert P to TSS (lb TSS/yr) [Using VTDEC's conversion]</t>
  </si>
  <si>
    <t>Settling basin maintenance</t>
  </si>
  <si>
    <t>No new treatment; just maintenance of existing settling basin.</t>
  </si>
  <si>
    <t>Formalize roadside swale into settling basin, pretreatment to prevent pollutant transport through culvert, perform routine maintenance</t>
  </si>
  <si>
    <t>Assumed Structural BMP Parameters and Calcs using MS4 Permit Appendix F Methodology</t>
  </si>
  <si>
    <t>Bioswale/ Bioretention; Convert Pavment; Maintenance</t>
  </si>
  <si>
    <t>Permeable Pavement; Stabilize Bank; Formalize Parking; Maintenance</t>
  </si>
  <si>
    <t>Permeable pavement retrofit, stormwater controls to prevent/minimize undefined input points, restore shoreline along Letter S Road (East), define parking/fishing spots to minimize adverse human impacts, bioretention basin at Alton Highway Facilities with pretreatment and sizing capacity for water quality volume at existing low point, perform routine maintenance</t>
  </si>
  <si>
    <t>Structural BMP - Permeable pavement</t>
  </si>
  <si>
    <t>Structural BMP - Bioretention (infiltration)</t>
  </si>
  <si>
    <t>Infiltration trench, 2.41 in/hr</t>
  </si>
  <si>
    <t>Sediment Load Reduction (ton/yr)</t>
  </si>
  <si>
    <t>Phosphorus load reduction (lb/yr)</t>
  </si>
  <si>
    <t>Nitrogen load reduction (lb/yr)</t>
  </si>
  <si>
    <t>MS4 Permit</t>
  </si>
  <si>
    <t>- For sites with recommended structural/treatment BMPs, pollutant removal is calculated using methodology from the NH MS4 Permit, Appendix F. TSS removal is calculated using VT DEC's conversion from TP to TSS</t>
  </si>
  <si>
    <t>- For sites with recommended gully stabilization, pollutant removal is calculated using EPA Region 5's erosion control spreadsheet model.</t>
  </si>
  <si>
    <t>Methods &amp; Assumptions:</t>
  </si>
  <si>
    <t>- Gully parameters are assumed based on site observations</t>
  </si>
  <si>
    <t>- Pollutant removal is not calculated for sites that either do not drain to Mill Pond or do not have recommended treatment or erosion control BMPs</t>
  </si>
  <si>
    <t>Pollutant Reduction Calculations by Horsley Witten for sites with recommended treatment or erosion-control BMPs (last revision 9/25/20)</t>
  </si>
  <si>
    <t>Top width (ft)</t>
  </si>
  <si>
    <t>Bottom width (ft)</t>
  </si>
  <si>
    <t>Depth (ft)</t>
  </si>
  <si>
    <t>Length (ft)</t>
  </si>
  <si>
    <t>Years</t>
  </si>
  <si>
    <t>EPA Region 5 Model - Gully Stabilization Results</t>
  </si>
  <si>
    <t>Hydrologic Soil Group (if mixed, higher letter)</t>
  </si>
  <si>
    <t>PLER (lb/ac/yr) (MS4 Permit Appendix F)</t>
  </si>
  <si>
    <t>NLER (lb/ac/yr) (MS4 Permit Appendix F)</t>
  </si>
  <si>
    <t>Percent N reduction (MS4 Permit Appendix F)</t>
  </si>
  <si>
    <t>Percent P reduction (MS4 Permit Appendix F)</t>
  </si>
  <si>
    <t>Assumed treatment depth (inches runoff from IC)</t>
  </si>
  <si>
    <t>Calculated Baseload and Reduction for Structural BMPs using MS4 Permit Appendix F Methodology</t>
  </si>
  <si>
    <t>Site and Pollutant Control Descriptions</t>
  </si>
  <si>
    <t>Assumed Parameters for EPA Region 5 Gully Stabilization Model 
(for all, assume sandy loam and 95% BMP efficiency)</t>
  </si>
  <si>
    <t>- Drainage area impervious cover and treatment depth are assumed based on typical small-scale BMP designs</t>
  </si>
  <si>
    <t>Costs from memoradum to Opti-Tool TAC, dated 2/20/2016, Subject: Methodology for developing cost estimates for Opti-Tool</t>
  </si>
  <si>
    <t>https://www3.epa.gov/region1/npdes/stormwater/ma/green-infrastructure-stormwater-bmp-cost-estimation.pdf</t>
  </si>
  <si>
    <t>Capital Cost Formula = BMP Storage Volume (CF) x BMP Unit Cost ($/CF) x Adjustment Factor</t>
  </si>
  <si>
    <t xml:space="preserve">Capital Costs, based on data from CRWA and UNHSC. </t>
  </si>
  <si>
    <t>BMP (From Opti-Tool)</t>
  </si>
  <si>
    <t>Unit Capital Cost ($/ft3) – 2016 dollars</t>
  </si>
  <si>
    <t>Escalate 9% from 2016 to 2020 dollars</t>
  </si>
  <si>
    <t>Adjustment Factor</t>
  </si>
  <si>
    <t>Adjusted $/ft3</t>
  </si>
  <si>
    <t>Bioretention (Includes rain garden)</t>
  </si>
  <si>
    <t>Dry Pond or detention basin</t>
  </si>
  <si>
    <t>Enhanced Bioretention (aka-Bio-filtration Practice)</t>
  </si>
  <si>
    <t>Infiltration Basin (or other Surface Infiltration Practice)</t>
  </si>
  <si>
    <t>Infiltration Trench</t>
  </si>
  <si>
    <t>Porous Pavement - Porous Asphalt Pavement</t>
  </si>
  <si>
    <t>Porous Pavement - Pervious Concrete</t>
  </si>
  <si>
    <t>Sand Filter</t>
  </si>
  <si>
    <t>Gravel Wetland System (aka-subsurface gravel wetland)</t>
  </si>
  <si>
    <t>Wet Pond or wet detention basin</t>
  </si>
  <si>
    <t>Subsurface Infiltration/Detention System (aka-Infiltration Chamber)</t>
  </si>
  <si>
    <t>Notes:
Unit costs represent the capital cost of construction/installation plus 35% design/engineering/contingency cost
Escalation % is from U.S. Burea of Labor Statistics CPI Inflation Calculator: https://www.bls.gov/data/inflation_calculator.htm</t>
  </si>
  <si>
    <t>O&amp;M Cost Formula = Annual O&amp;M Hours x Wage</t>
  </si>
  <si>
    <t>O&amp;M costs from UNHSC</t>
  </si>
  <si>
    <t>BMP</t>
  </si>
  <si>
    <t>Maintenance Cost ($) per year in 2012 dollars</t>
  </si>
  <si>
    <t>Annual Maintenance Hours</t>
  </si>
  <si>
    <t>Original $/hr</t>
  </si>
  <si>
    <t>Cost at $100/hr, Rounded to nearest thousand</t>
  </si>
  <si>
    <t>Detention Pond</t>
  </si>
  <si>
    <t>Gravel Wetland</t>
  </si>
  <si>
    <t>Porous Asphalt</t>
  </si>
  <si>
    <t>Pervious Concrete</t>
  </si>
  <si>
    <t>Retention Pond</t>
  </si>
  <si>
    <t>*Note: initial costs based on cost of maintenance per year per acre of IC treated</t>
  </si>
  <si>
    <t>Opti-tool memo uses O&amp;M hours, not cost.</t>
  </si>
  <si>
    <t>Total Pollutant Removal</t>
  </si>
  <si>
    <t>Costs</t>
  </si>
  <si>
    <t>BMP Type</t>
  </si>
  <si>
    <t>Unit Cost ($/cf) [Opti-tool, EPA 2016]</t>
  </si>
  <si>
    <t>Low Range</t>
  </si>
  <si>
    <t>High Range</t>
  </si>
  <si>
    <t>Capital Cost</t>
  </si>
  <si>
    <t>Permeable pavement</t>
  </si>
  <si>
    <t>Rain garden with level spreader at point of erosion</t>
  </si>
  <si>
    <t>Asphalt berm; repair eroded driveway</t>
  </si>
  <si>
    <t>- Capital costs for structural/treatment BMPs are estimated using unit costs provided in EPA's Opti-tool cost estimate memo: https://www3.epa.gov/region1/npdes/stormwater/ma/green-infrastructure-stormwater-bmp-cost-estimation.pdf</t>
  </si>
  <si>
    <t>- Capital costs have an adjustment factor of 2 to account for scale and complexity, and are expressed in 2020 dollars</t>
  </si>
  <si>
    <t>Bioretention and Erosion control - gully stabilization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</si>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</sst>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quot;$&quot;#,##0.00"/>
    <numFmt numFmtId="168" formatCode="_(&quot;$&quot;* #,##0_);_(&quot;$&quot;* \(#,##0\);_(&quot;$&quot;* &quot;-&quot;??_);_(@_)"/>
  </numFmts>
  <fonts count="22" x14ac:knownFonts="1">
    <font>
      <sz val="11"/>
      <color theme="1"/>
      <name val="Calibri"/>
      <family val="2"/>
      <scheme val="minor"/>
    </font>
    <font>
      <sz val="10"/>
      <color rgb="FF000000"/>
      <name val="Ebrima"/>
    </font>
    <font>
      <sz val="10"/>
      <color theme="1"/>
      <name val="Ebrima"/>
    </font>
    <font>
      <b/>
      <sz val="10"/>
      <color theme="1"/>
      <name val="Ebrima"/>
    </font>
    <font>
      <sz val="9"/>
      <color indexed="81"/>
      <name val="Tahoma"/>
      <family val="2"/>
    </font>
    <font>
      <b/>
      <sz val="9"/>
      <color indexed="81"/>
      <name val="Tahoma"/>
      <family val="2"/>
    </font>
    <font>
      <b/>
      <sz val="10"/>
      <name val="Ebrima"/>
    </font>
    <font>
      <sz val="10"/>
      <name val="Ebrima"/>
    </font>
    <font>
      <b/>
      <sz val="12"/>
      <color rgb="FFFF0000"/>
      <name val="Ebrima"/>
    </font>
    <font>
      <sz val="8"/>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b/>
      <sz val="12"/>
      <name val="Calibri"/>
      <family val="2"/>
      <scheme val="minor"/>
    </font>
    <font>
      <sz val="11"/>
      <color rgb="FF00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9C9"/>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3" fontId="16" fillId="0" borderId="0" applyFont="0" applyFill="0" applyBorder="0" applyAlignment="0" applyProtection="0"/>
    <xf numFmtId="44" fontId="16" fillId="0" borderId="0" applyFont="0" applyFill="0" applyBorder="0" applyAlignment="0" applyProtection="0"/>
    <xf numFmtId="0" fontId="18" fillId="0" borderId="0" applyNumberFormat="0" applyFill="0" applyBorder="0" applyAlignment="0" applyProtection="0"/>
  </cellStyleXfs>
  <cellXfs count="281">
    <xf numFmtId="0" fontId="0" fillId="0" borderId="0" xfId="0"/>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3" fillId="2" borderId="0" xfId="0" applyFont="1" applyFill="1" applyAlignment="1">
      <alignment horizontal="center" vertical="center"/>
    </xf>
    <xf numFmtId="0" fontId="3" fillId="3" borderId="0" xfId="0" applyFont="1" applyFill="1" applyAlignment="1">
      <alignment horizontal="center" vertical="center"/>
    </xf>
    <xf numFmtId="0" fontId="3" fillId="5" borderId="0" xfId="0" applyFont="1" applyFill="1" applyAlignment="1">
      <alignment horizontal="center" vertical="center"/>
    </xf>
    <xf numFmtId="49" fontId="7" fillId="0" borderId="0" xfId="0" applyNumberFormat="1" applyFont="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left" vertic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6" borderId="0" xfId="0" applyFont="1" applyFill="1" applyAlignment="1">
      <alignment horizontal="center" vertical="center"/>
    </xf>
    <xf numFmtId="49" fontId="3" fillId="5"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4" fontId="2" fillId="0" borderId="0" xfId="0" applyNumberFormat="1" applyFont="1" applyBorder="1" applyAlignment="1">
      <alignment horizontal="center" vertical="center"/>
    </xf>
    <xf numFmtId="4" fontId="7" fillId="0" borderId="0" xfId="0" applyNumberFormat="1" applyFont="1" applyBorder="1" applyAlignment="1">
      <alignment horizontal="center" vertical="center"/>
    </xf>
    <xf numFmtId="4" fontId="2" fillId="0" borderId="0" xfId="0" applyNumberFormat="1" applyFont="1" applyFill="1" applyBorder="1" applyAlignment="1">
      <alignment horizontal="center" vertical="center"/>
    </xf>
    <xf numFmtId="1" fontId="2" fillId="0" borderId="0" xfId="0" applyNumberFormat="1" applyFont="1" applyAlignment="1">
      <alignment horizontal="center" vertical="center"/>
    </xf>
    <xf numFmtId="2" fontId="3" fillId="4" borderId="0" xfId="0" applyNumberFormat="1" applyFont="1" applyFill="1" applyAlignment="1">
      <alignment horizontal="center" vertical="center"/>
    </xf>
    <xf numFmtId="2" fontId="7" fillId="0" borderId="0" xfId="0" applyNumberFormat="1" applyFont="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Alignment="1">
      <alignment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xf>
    <xf numFmtId="1" fontId="2"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0" fontId="2" fillId="0" borderId="0" xfId="0" applyFont="1" applyFill="1" applyAlignment="1">
      <alignment horizontal="left" vertical="center" wrapText="1"/>
    </xf>
    <xf numFmtId="4" fontId="7" fillId="0" borderId="0"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7" borderId="2" xfId="0" applyFont="1" applyFill="1" applyBorder="1" applyAlignment="1">
      <alignment horizontal="left" vertical="center" wrapText="1"/>
    </xf>
    <xf numFmtId="4" fontId="3" fillId="7" borderId="3" xfId="0" applyNumberFormat="1" applyFont="1" applyFill="1" applyBorder="1" applyAlignment="1">
      <alignment horizontal="center" vertical="center"/>
    </xf>
    <xf numFmtId="4" fontId="3" fillId="0" borderId="0" xfId="0" applyNumberFormat="1" applyFont="1" applyBorder="1" applyAlignment="1">
      <alignment horizontal="center" vertical="center"/>
    </xf>
    <xf numFmtId="164" fontId="2" fillId="0" borderId="0" xfId="0" applyNumberFormat="1" applyFont="1" applyAlignment="1">
      <alignment horizontal="center" vertical="center"/>
    </xf>
    <xf numFmtId="164" fontId="7"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2" fontId="3" fillId="0" borderId="0" xfId="0" applyNumberFormat="1" applyFont="1" applyFill="1" applyBorder="1" applyAlignment="1">
      <alignment vertical="center"/>
    </xf>
    <xf numFmtId="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Alignment="1">
      <alignment horizontal="center" vertical="center"/>
    </xf>
    <xf numFmtId="3" fontId="2" fillId="0" borderId="0" xfId="0" applyNumberFormat="1" applyFont="1" applyFill="1" applyBorder="1" applyAlignment="1">
      <alignment horizontal="center" vertical="center"/>
    </xf>
    <xf numFmtId="3" fontId="3" fillId="7" borderId="3" xfId="0" applyNumberFormat="1" applyFont="1" applyFill="1" applyBorder="1" applyAlignment="1">
      <alignment horizontal="center" vertical="center"/>
    </xf>
    <xf numFmtId="3" fontId="3" fillId="0" borderId="0" xfId="0" applyNumberFormat="1" applyFont="1" applyBorder="1" applyAlignment="1">
      <alignment horizontal="center" vertical="center"/>
    </xf>
    <xf numFmtId="4" fontId="7" fillId="0" borderId="0" xfId="0" applyNumberFormat="1" applyFont="1" applyFill="1" applyAlignment="1">
      <alignment horizontal="center" vertical="center"/>
    </xf>
    <xf numFmtId="164" fontId="3" fillId="7" borderId="3" xfId="0" applyNumberFormat="1" applyFont="1" applyFill="1" applyBorder="1" applyAlignment="1">
      <alignment horizontal="center" vertical="center"/>
    </xf>
    <xf numFmtId="164" fontId="3" fillId="7" borderId="4" xfId="0" applyNumberFormat="1" applyFont="1" applyFill="1" applyBorder="1" applyAlignment="1">
      <alignment horizontal="center" vertical="center"/>
    </xf>
    <xf numFmtId="49" fontId="3" fillId="8" borderId="0" xfId="0" applyNumberFormat="1" applyFont="1" applyFill="1" applyAlignment="1">
      <alignment horizontal="center" vertical="center"/>
    </xf>
    <xf numFmtId="165" fontId="2" fillId="0" borderId="0" xfId="0" applyNumberFormat="1" applyFont="1" applyAlignment="1">
      <alignment horizontal="center" vertical="center"/>
    </xf>
    <xf numFmtId="0" fontId="3" fillId="7" borderId="3" xfId="0" applyFont="1" applyFill="1" applyBorder="1" applyAlignment="1">
      <alignment horizontal="left" vertical="center" wrapText="1"/>
    </xf>
    <xf numFmtId="49" fontId="3" fillId="9" borderId="0" xfId="0" applyNumberFormat="1" applyFont="1" applyFill="1" applyAlignment="1">
      <alignment horizontal="center"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1"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0" fontId="3" fillId="0" borderId="0" xfId="0" applyFont="1" applyAlignment="1">
      <alignment horizontal="left"/>
    </xf>
    <xf numFmtId="0" fontId="3" fillId="0" borderId="0" xfId="0" applyFont="1"/>
    <xf numFmtId="0" fontId="2" fillId="0" borderId="0" xfId="0" applyFont="1"/>
    <xf numFmtId="0" fontId="2" fillId="0" borderId="0" xfId="0" applyFont="1" applyAlignment="1">
      <alignment horizontal="left"/>
    </xf>
    <xf numFmtId="3" fontId="2" fillId="0" borderId="0" xfId="0" applyNumberFormat="1" applyFont="1" applyBorder="1"/>
    <xf numFmtId="4" fontId="2" fillId="0" borderId="0" xfId="0" applyNumberFormat="1" applyFont="1" applyBorder="1"/>
    <xf numFmtId="49" fontId="3"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0" fontId="2" fillId="0" borderId="5" xfId="0" applyFont="1" applyBorder="1" applyAlignment="1">
      <alignment horizontal="center" vertical="center"/>
    </xf>
    <xf numFmtId="0" fontId="3" fillId="0" borderId="5" xfId="0" applyFont="1" applyFill="1" applyBorder="1" applyAlignment="1">
      <alignment horizontal="right" vertical="center" wrapText="1"/>
    </xf>
    <xf numFmtId="3"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2" fillId="0" borderId="5" xfId="0" applyFont="1" applyBorder="1" applyAlignment="1">
      <alignment horizontal="left" vertical="center" wrapText="1"/>
    </xf>
    <xf numFmtId="0" fontId="3" fillId="0" borderId="0" xfId="0" applyFont="1" applyFill="1" applyAlignment="1">
      <alignment horizontal="left" vertical="center"/>
    </xf>
    <xf numFmtId="14" fontId="2" fillId="0" borderId="0" xfId="0" applyNumberFormat="1" applyFont="1" applyFill="1" applyAlignment="1">
      <alignment horizontal="center" vertical="center" wrapText="1"/>
    </xf>
    <xf numFmtId="0" fontId="3" fillId="0" borderId="1" xfId="0" applyFont="1" applyBorder="1" applyAlignment="1">
      <alignment horizontal="center" vertical="center" wrapText="1"/>
    </xf>
    <xf numFmtId="14" fontId="2"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5" borderId="0" xfId="0" applyFont="1" applyFill="1" applyAlignment="1">
      <alignment horizontal="center" vertical="center" wrapText="1"/>
    </xf>
    <xf numFmtId="0" fontId="7" fillId="0" borderId="0" xfId="0" applyFont="1" applyAlignment="1">
      <alignment horizontal="left" vertical="center" wrapText="1"/>
    </xf>
    <xf numFmtId="0" fontId="7" fillId="0" borderId="0" xfId="0" applyFont="1" applyFill="1" applyAlignment="1">
      <alignment horizontal="left" vertical="center" wrapText="1"/>
    </xf>
    <xf numFmtId="4" fontId="3"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0" fillId="0" borderId="0" xfId="0" applyFill="1" applyBorder="1" applyAlignment="1">
      <alignment wrapText="1"/>
    </xf>
    <xf numFmtId="0" fontId="0" fillId="0" borderId="0" xfId="0" quotePrefix="1" applyFill="1" applyBorder="1"/>
    <xf numFmtId="0" fontId="0" fillId="0" borderId="0" xfId="0" applyFill="1" applyBorder="1"/>
    <xf numFmtId="0" fontId="0" fillId="0" borderId="0" xfId="0" applyFill="1" applyBorder="1" applyAlignment="1">
      <alignment horizontal="center"/>
    </xf>
    <xf numFmtId="0" fontId="10" fillId="0" borderId="0" xfId="0" applyFont="1" applyFill="1" applyBorder="1"/>
    <xf numFmtId="0" fontId="10" fillId="0" borderId="0" xfId="0" applyFont="1" applyFill="1" applyBorder="1" applyAlignment="1">
      <alignment horizontal="right"/>
    </xf>
    <xf numFmtId="0" fontId="3"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2" fontId="0" fillId="0" borderId="6" xfId="0" applyNumberFormat="1" applyFill="1" applyBorder="1" applyAlignment="1">
      <alignment horizontal="center" vertical="center"/>
    </xf>
    <xf numFmtId="2" fontId="0" fillId="0" borderId="6" xfId="0" applyNumberFormat="1" applyFill="1" applyBorder="1"/>
    <xf numFmtId="165"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7" xfId="0" applyFill="1" applyBorder="1" applyAlignment="1">
      <alignment horizontal="center"/>
    </xf>
    <xf numFmtId="0" fontId="0" fillId="0" borderId="13" xfId="0" applyFill="1" applyBorder="1"/>
    <xf numFmtId="2" fontId="0" fillId="0" borderId="14" xfId="0" applyNumberFormat="1" applyFill="1" applyBorder="1"/>
    <xf numFmtId="0" fontId="0" fillId="0" borderId="14" xfId="0" applyFill="1" applyBorder="1"/>
    <xf numFmtId="2" fontId="0" fillId="0" borderId="7" xfId="0" applyNumberFormat="1" applyFill="1" applyBorder="1" applyAlignment="1">
      <alignment horizontal="center" vertical="center"/>
    </xf>
    <xf numFmtId="2" fontId="0" fillId="0" borderId="7" xfId="0" applyNumberFormat="1" applyFill="1" applyBorder="1"/>
    <xf numFmtId="2" fontId="0" fillId="0" borderId="17" xfId="0" applyNumberFormat="1" applyFill="1" applyBorder="1"/>
    <xf numFmtId="2" fontId="0" fillId="0" borderId="6" xfId="0" applyNumberFormat="1" applyFill="1" applyBorder="1" applyAlignment="1">
      <alignment vertical="center"/>
    </xf>
    <xf numFmtId="2" fontId="0" fillId="0" borderId="11" xfId="0" applyNumberFormat="1" applyFill="1" applyBorder="1" applyAlignment="1">
      <alignment horizontal="center" vertical="center"/>
    </xf>
    <xf numFmtId="2" fontId="0" fillId="0" borderId="11" xfId="0" applyNumberFormat="1" applyFill="1" applyBorder="1"/>
    <xf numFmtId="2" fontId="0" fillId="0" borderId="13" xfId="0" applyNumberFormat="1" applyFill="1" applyBorder="1"/>
    <xf numFmtId="2" fontId="11" fillId="0" borderId="7" xfId="0" applyNumberFormat="1" applyFont="1" applyFill="1" applyBorder="1" applyAlignment="1">
      <alignment vertical="center"/>
    </xf>
    <xf numFmtId="165" fontId="0" fillId="0" borderId="6" xfId="0" applyNumberFormat="1" applyFill="1" applyBorder="1" applyAlignment="1">
      <alignment vertical="center"/>
    </xf>
    <xf numFmtId="0" fontId="0" fillId="0" borderId="20" xfId="0" applyFill="1" applyBorder="1"/>
    <xf numFmtId="3" fontId="3" fillId="0" borderId="11" xfId="0" applyNumberFormat="1" applyFont="1" applyFill="1" applyBorder="1" applyAlignment="1">
      <alignment horizontal="center" vertical="center" wrapText="1"/>
    </xf>
    <xf numFmtId="165" fontId="0" fillId="0" borderId="11" xfId="0" applyNumberFormat="1" applyFill="1" applyBorder="1" applyAlignment="1">
      <alignment vertical="center"/>
    </xf>
    <xf numFmtId="165" fontId="0" fillId="0" borderId="13" xfId="0" applyNumberFormat="1" applyFill="1" applyBorder="1" applyAlignment="1">
      <alignment vertical="center"/>
    </xf>
    <xf numFmtId="165" fontId="0" fillId="0" borderId="14" xfId="0" applyNumberFormat="1" applyFill="1" applyBorder="1" applyAlignment="1">
      <alignment vertical="center"/>
    </xf>
    <xf numFmtId="0" fontId="0" fillId="0" borderId="20" xfId="0" applyFill="1" applyBorder="1" applyAlignment="1">
      <alignment horizontal="center"/>
    </xf>
    <xf numFmtId="0" fontId="3" fillId="0" borderId="8" xfId="0"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26" xfId="0" applyFill="1" applyBorder="1" applyAlignment="1">
      <alignment horizontal="center"/>
    </xf>
    <xf numFmtId="1"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 fontId="2" fillId="0" borderId="14" xfId="0" applyNumberFormat="1" applyFont="1" applyFill="1" applyBorder="1" applyAlignment="1">
      <alignment horizontal="center" vertical="center" wrapText="1"/>
    </xf>
    <xf numFmtId="0" fontId="14" fillId="0" borderId="19" xfId="0" applyFont="1" applyFill="1" applyBorder="1"/>
    <xf numFmtId="0" fontId="0" fillId="0" borderId="20" xfId="0" applyFill="1" applyBorder="1" applyAlignment="1">
      <alignment wrapText="1"/>
    </xf>
    <xf numFmtId="0" fontId="0" fillId="0" borderId="18" xfId="0" quotePrefix="1" applyFill="1" applyBorder="1"/>
    <xf numFmtId="0" fontId="0" fillId="0" borderId="18" xfId="0" applyFill="1" applyBorder="1"/>
    <xf numFmtId="0" fontId="0" fillId="0" borderId="28" xfId="0" applyFill="1" applyBorder="1"/>
    <xf numFmtId="0" fontId="0" fillId="0" borderId="29" xfId="0" quotePrefix="1" applyFill="1" applyBorder="1"/>
    <xf numFmtId="0" fontId="0" fillId="0" borderId="29" xfId="0" applyFill="1" applyBorder="1" applyAlignment="1">
      <alignment wrapText="1"/>
    </xf>
    <xf numFmtId="0" fontId="0" fillId="0" borderId="29" xfId="0" applyFill="1" applyBorder="1"/>
    <xf numFmtId="0" fontId="0" fillId="0" borderId="29" xfId="0" applyFill="1" applyBorder="1" applyAlignment="1">
      <alignment horizontal="center"/>
    </xf>
    <xf numFmtId="0" fontId="13" fillId="0" borderId="0" xfId="0" applyFont="1" applyFill="1" applyBorder="1"/>
    <xf numFmtId="0" fontId="15" fillId="0" borderId="0" xfId="0" applyFont="1" applyFill="1" applyBorder="1"/>
    <xf numFmtId="49" fontId="2" fillId="0" borderId="6" xfId="0" applyNumberFormat="1" applyFont="1" applyFill="1" applyBorder="1" applyAlignment="1">
      <alignment horizontal="center" vertical="center" wrapText="1"/>
    </xf>
    <xf numFmtId="49" fontId="0" fillId="0" borderId="14" xfId="0" applyNumberFormat="1" applyFill="1" applyBorder="1" applyAlignment="1">
      <alignment wrapText="1"/>
    </xf>
    <xf numFmtId="49" fontId="2" fillId="0" borderId="6" xfId="0" applyNumberFormat="1" applyFont="1" applyFill="1" applyBorder="1" applyAlignment="1">
      <alignment horizontal="left" vertical="center" wrapText="1"/>
    </xf>
    <xf numFmtId="49" fontId="0" fillId="0" borderId="14" xfId="0" applyNumberFormat="1" applyFill="1" applyBorder="1"/>
    <xf numFmtId="49" fontId="0" fillId="0" borderId="14" xfId="0" applyNumberFormat="1" applyFill="1" applyBorder="1" applyAlignment="1">
      <alignment horizontal="center"/>
    </xf>
    <xf numFmtId="49" fontId="2" fillId="0" borderId="12" xfId="0" applyNumberFormat="1" applyFont="1" applyFill="1" applyBorder="1" applyAlignment="1">
      <alignment horizontal="center" vertical="center" wrapText="1"/>
    </xf>
    <xf numFmtId="49" fontId="0" fillId="0" borderId="15" xfId="0" applyNumberFormat="1" applyFill="1" applyBorder="1" applyAlignment="1">
      <alignment horizontal="center"/>
    </xf>
    <xf numFmtId="49" fontId="2" fillId="10" borderId="0" xfId="0" applyNumberFormat="1" applyFont="1" applyFill="1" applyAlignment="1">
      <alignment horizontal="center" vertical="center"/>
    </xf>
    <xf numFmtId="0" fontId="2" fillId="10" borderId="0" xfId="0" applyFont="1" applyFill="1" applyAlignment="1">
      <alignment horizontal="center" vertical="center"/>
    </xf>
    <xf numFmtId="14" fontId="2" fillId="10" borderId="0" xfId="0" applyNumberFormat="1" applyFont="1" applyFill="1" applyAlignment="1">
      <alignment horizontal="center" vertical="center"/>
    </xf>
    <xf numFmtId="0" fontId="2" fillId="10" borderId="0" xfId="0" applyFont="1" applyFill="1" applyAlignment="1">
      <alignment horizontal="left" vertical="center" wrapText="1"/>
    </xf>
    <xf numFmtId="3" fontId="2" fillId="10" borderId="0" xfId="0" applyNumberFormat="1" applyFont="1" applyFill="1" applyBorder="1" applyAlignment="1">
      <alignment horizontal="center" vertical="center"/>
    </xf>
    <xf numFmtId="4" fontId="2" fillId="10" borderId="0" xfId="0" applyNumberFormat="1" applyFont="1" applyFill="1" applyBorder="1" applyAlignment="1">
      <alignment horizontal="center" vertical="center"/>
    </xf>
    <xf numFmtId="164" fontId="2" fillId="10" borderId="0" xfId="0" applyNumberFormat="1" applyFont="1" applyFill="1" applyAlignment="1">
      <alignment horizontal="center" vertical="center"/>
    </xf>
    <xf numFmtId="164" fontId="7" fillId="10" borderId="0" xfId="0" applyNumberFormat="1" applyFont="1" applyFill="1" applyAlignment="1">
      <alignment horizontal="center" vertical="center"/>
    </xf>
    <xf numFmtId="0" fontId="2" fillId="6" borderId="0" xfId="0" applyFont="1" applyFill="1" applyAlignment="1">
      <alignment horizontal="center" vertical="center"/>
    </xf>
    <xf numFmtId="1" fontId="2" fillId="6" borderId="0" xfId="0" applyNumberFormat="1" applyFont="1" applyFill="1" applyAlignment="1">
      <alignment horizontal="center" vertical="center"/>
    </xf>
    <xf numFmtId="0" fontId="19" fillId="0" borderId="0" xfId="0" applyFont="1"/>
    <xf numFmtId="0" fontId="18" fillId="0" borderId="0" xfId="3"/>
    <xf numFmtId="0" fontId="10" fillId="0" borderId="0" xfId="0" applyFont="1"/>
    <xf numFmtId="0" fontId="0" fillId="0" borderId="0" xfId="0" applyAlignment="1">
      <alignment wrapText="1"/>
    </xf>
    <xf numFmtId="0" fontId="0" fillId="0" borderId="0" xfId="0" applyAlignment="1">
      <alignment horizontal="right"/>
    </xf>
    <xf numFmtId="166" fontId="0" fillId="0" borderId="0" xfId="1" applyNumberFormat="1" applyFont="1"/>
    <xf numFmtId="0" fontId="20" fillId="0" borderId="0" xfId="0" applyFont="1"/>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0" fillId="0" borderId="6" xfId="0" applyBorder="1" applyAlignment="1">
      <alignment wrapText="1"/>
    </xf>
    <xf numFmtId="0" fontId="0" fillId="0" borderId="6" xfId="0" applyBorder="1"/>
    <xf numFmtId="167" fontId="0" fillId="0" borderId="6" xfId="0" applyNumberFormat="1" applyBorder="1"/>
    <xf numFmtId="2" fontId="0" fillId="0" borderId="6" xfId="0" applyNumberFormat="1" applyBorder="1"/>
    <xf numFmtId="167" fontId="0" fillId="0" borderId="0" xfId="0" applyNumberFormat="1"/>
    <xf numFmtId="2" fontId="0" fillId="0" borderId="0" xfId="0" applyNumberFormat="1"/>
    <xf numFmtId="165" fontId="0" fillId="0" borderId="0" xfId="0" applyNumberFormat="1"/>
    <xf numFmtId="164" fontId="0" fillId="0" borderId="0" xfId="0" applyNumberFormat="1"/>
    <xf numFmtId="0" fontId="17" fillId="0" borderId="0" xfId="0" applyFont="1"/>
    <xf numFmtId="0" fontId="10" fillId="0" borderId="0" xfId="0" applyFont="1" applyAlignment="1">
      <alignment wrapText="1"/>
    </xf>
    <xf numFmtId="0" fontId="12" fillId="0" borderId="0" xfId="0" applyFont="1" applyAlignment="1">
      <alignment wrapText="1"/>
    </xf>
    <xf numFmtId="6" fontId="0" fillId="0" borderId="6" xfId="0" applyNumberFormat="1" applyBorder="1"/>
    <xf numFmtId="165" fontId="0" fillId="0" borderId="6" xfId="0" applyNumberFormat="1" applyBorder="1" applyAlignment="1">
      <alignment horizontal="center"/>
    </xf>
    <xf numFmtId="168" fontId="0" fillId="0" borderId="0" xfId="2" applyNumberFormat="1" applyFont="1"/>
    <xf numFmtId="6" fontId="0" fillId="0" borderId="0" xfId="0" applyNumberFormat="1"/>
    <xf numFmtId="0" fontId="0" fillId="0" borderId="0" xfId="0" applyAlignment="1">
      <alignment horizont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xf>
    <xf numFmtId="9" fontId="21" fillId="0" borderId="0" xfId="0" applyNumberFormat="1" applyFont="1" applyAlignment="1">
      <alignment horizontal="right" vertical="center"/>
    </xf>
    <xf numFmtId="168" fontId="0" fillId="0" borderId="0" xfId="0" applyNumberFormat="1"/>
    <xf numFmtId="0" fontId="21" fillId="0" borderId="0" xfId="0" applyFont="1" applyAlignment="1">
      <alignment vertical="center" wrapText="1"/>
    </xf>
    <xf numFmtId="9" fontId="17" fillId="0" borderId="0" xfId="0" applyNumberFormat="1" applyFont="1" applyAlignment="1">
      <alignment horizontal="right" vertical="center"/>
    </xf>
    <xf numFmtId="168" fontId="17" fillId="0" borderId="0" xfId="0" applyNumberFormat="1" applyFont="1"/>
    <xf numFmtId="0" fontId="10" fillId="0" borderId="0" xfId="0" applyFont="1" applyAlignment="1">
      <alignment horizontal="right"/>
    </xf>
    <xf numFmtId="2" fontId="10" fillId="0" borderId="0" xfId="0" applyNumberFormat="1" applyFont="1"/>
    <xf numFmtId="168" fontId="10" fillId="0" borderId="0" xfId="0" applyNumberFormat="1" applyFont="1"/>
    <xf numFmtId="0" fontId="10" fillId="0" borderId="0" xfId="0" applyFont="1" applyAlignment="1">
      <alignment horizontal="left"/>
    </xf>
    <xf numFmtId="4" fontId="3" fillId="0" borderId="7" xfId="0" applyNumberFormat="1" applyFont="1" applyFill="1" applyBorder="1" applyAlignment="1">
      <alignment horizontal="center" vertical="center" wrapText="1"/>
    </xf>
    <xf numFmtId="165" fontId="0" fillId="0" borderId="7" xfId="0" applyNumberFormat="1" applyFill="1" applyBorder="1" applyAlignment="1">
      <alignment vertical="center"/>
    </xf>
    <xf numFmtId="165" fontId="0" fillId="0" borderId="17" xfId="0" applyNumberFormat="1" applyFill="1" applyBorder="1" applyAlignment="1">
      <alignment vertical="center"/>
    </xf>
    <xf numFmtId="0" fontId="10" fillId="0" borderId="6" xfId="0" applyFont="1" applyFill="1" applyBorder="1" applyAlignment="1">
      <alignment horizontal="center" vertical="center" wrapText="1"/>
    </xf>
    <xf numFmtId="168" fontId="0" fillId="0" borderId="6" xfId="2" applyNumberFormat="1" applyFont="1" applyFill="1" applyBorder="1" applyAlignment="1">
      <alignment vertical="center"/>
    </xf>
    <xf numFmtId="1" fontId="0" fillId="0" borderId="6" xfId="0" applyNumberFormat="1" applyFill="1" applyBorder="1" applyAlignment="1">
      <alignment vertical="center"/>
    </xf>
    <xf numFmtId="0" fontId="0" fillId="0" borderId="6" xfId="0" applyFill="1" applyBorder="1"/>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1" xfId="0" applyFill="1" applyBorder="1" applyAlignment="1">
      <alignment vertical="center"/>
    </xf>
    <xf numFmtId="168" fontId="0" fillId="0" borderId="12" xfId="2" applyNumberFormat="1" applyFont="1" applyFill="1" applyBorder="1" applyAlignment="1">
      <alignment vertical="center"/>
    </xf>
    <xf numFmtId="0" fontId="0" fillId="0" borderId="11" xfId="0" applyFill="1" applyBorder="1"/>
    <xf numFmtId="0" fontId="0" fillId="0" borderId="12" xfId="0" applyFill="1" applyBorder="1"/>
    <xf numFmtId="0" fontId="0" fillId="0" borderId="11" xfId="0" applyFill="1" applyBorder="1" applyAlignment="1">
      <alignment horizontal="left" vertical="center" wrapText="1"/>
    </xf>
    <xf numFmtId="0" fontId="0" fillId="0" borderId="15" xfId="0" applyFill="1" applyBorder="1"/>
    <xf numFmtId="0" fontId="0" fillId="0" borderId="21"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49" fontId="8" fillId="2" borderId="0" xfId="0" applyNumberFormat="1" applyFont="1" applyFill="1" applyAlignment="1">
      <alignment horizontal="left"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xf>
    <xf numFmtId="0" fontId="12" fillId="13" borderId="9" xfId="0" applyFont="1" applyFill="1" applyBorder="1" applyAlignment="1">
      <alignment horizontal="center" vertical="center"/>
    </xf>
    <xf numFmtId="0" fontId="12" fillId="13" borderId="10" xfId="0" applyFont="1" applyFill="1" applyBorder="1" applyAlignment="1">
      <alignment horizontal="center" vertical="center"/>
    </xf>
    <xf numFmtId="0" fontId="12" fillId="13" borderId="31" xfId="0" applyFont="1" applyFill="1" applyBorder="1" applyAlignment="1">
      <alignment horizontal="center" vertical="center"/>
    </xf>
    <xf numFmtId="0" fontId="12" fillId="12" borderId="22"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12" fillId="6" borderId="25" xfId="0" applyFont="1" applyFill="1" applyBorder="1" applyAlignment="1">
      <alignment horizontal="center" wrapText="1"/>
    </xf>
    <xf numFmtId="0" fontId="12" fillId="6" borderId="10" xfId="0" applyFont="1" applyFill="1" applyBorder="1" applyAlignment="1">
      <alignment horizontal="center"/>
    </xf>
    <xf numFmtId="0" fontId="12" fillId="6" borderId="16" xfId="0" applyFont="1" applyFill="1" applyBorder="1" applyAlignment="1">
      <alignment horizontal="center"/>
    </xf>
    <xf numFmtId="0" fontId="12" fillId="10" borderId="9" xfId="0" applyFont="1" applyFill="1" applyBorder="1" applyAlignment="1">
      <alignment horizontal="center" vertical="center"/>
    </xf>
    <xf numFmtId="0" fontId="12" fillId="10" borderId="10" xfId="0" applyFont="1" applyFill="1" applyBorder="1" applyAlignment="1">
      <alignment horizontal="center" vertical="center"/>
    </xf>
    <xf numFmtId="0" fontId="12" fillId="10" borderId="16"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6" xfId="0" applyFont="1" applyFill="1" applyBorder="1" applyAlignment="1">
      <alignment horizontal="center" vertical="center"/>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21" fillId="0" borderId="0" xfId="0" applyFont="1" applyAlignment="1">
      <alignment vertical="center"/>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2" borderId="0" xfId="0" applyFont="1" applyFill="1" applyAlignment="1">
      <alignment horizontal="center" vertical="center"/>
    </xf>
    <xf numFmtId="0" fontId="3" fillId="3" borderId="0" xfId="0" applyFont="1" applyFill="1" applyAlignment="1">
      <alignment horizontal="center" vertical="center"/>
    </xf>
    <xf numFmtId="2" fontId="3" fillId="4" borderId="0" xfId="0" applyNumberFormat="1" applyFont="1" applyFill="1" applyAlignment="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heetName val="Performance"/>
      <sheetName val="BMPs"/>
      <sheetName val="Loads"/>
      <sheetName val="GIS"/>
      <sheetName val="Sheet2"/>
      <sheetName val="Sheet3"/>
      <sheetName val="Sheet4"/>
      <sheetName val="Ch-Perf"/>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Jonas Procton" id="{6E396BBF-2F29-4725-B33C-5F6603343BAA}" userId="S::jprocton@horsleywittengroup.com::56de0327-7e2e-4c3a-b567-7bedcd925e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1" dT="2020-08-05T13:12:45.50" personId="{6E396BBF-2F29-4725-B33C-5F6603343BAA}" id="{594D07B7-3379-49DA-958A-D8701F313288}">
    <text>Site 3-14?</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0-08-05T13:12:45.50" personId="{6E396BBF-2F29-4725-B33C-5F6603343BAA}" id="{EC78CD71-56B5-4277-B932-21CCF93B095C}">
    <text>Site 3-14?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7114-3346-4326-BFFD-5E6E3ED84011}">
  <dimension ref="A1:B27"/>
  <sheetViews>
    <sheetView zoomScale="80" zoomScaleNormal="80" workbookViewId="0">
      <selection activeCell="B19" sqref="B19"/>
    </sheetView>
  </sheetViews>
  <sheetFormatPr defaultColWidth="8.77734375" defaultRowHeight="15" x14ac:dyDescent="0.35"/>
  <cols>
    <col min="1" max="1" width="28.44140625" style="77" bestFit="1" customWidth="1"/>
    <col min="2" max="2" width="92.21875" style="76" customWidth="1"/>
    <col min="3" max="16384" width="8.77734375" style="76"/>
  </cols>
  <sheetData>
    <row r="1" spans="1:2" x14ac:dyDescent="0.35">
      <c r="A1" s="74" t="s">
        <v>303</v>
      </c>
      <c r="B1" s="75" t="s">
        <v>304</v>
      </c>
    </row>
    <row r="2" spans="1:2" x14ac:dyDescent="0.35">
      <c r="A2" s="67" t="s">
        <v>2</v>
      </c>
      <c r="B2" s="76" t="s">
        <v>305</v>
      </c>
    </row>
    <row r="3" spans="1:2" x14ac:dyDescent="0.35">
      <c r="A3" s="68" t="s">
        <v>172</v>
      </c>
      <c r="B3" s="76" t="s">
        <v>306</v>
      </c>
    </row>
    <row r="4" spans="1:2" x14ac:dyDescent="0.35">
      <c r="A4" s="67" t="s">
        <v>11</v>
      </c>
      <c r="B4" s="76" t="s">
        <v>308</v>
      </c>
    </row>
    <row r="5" spans="1:2" x14ac:dyDescent="0.35">
      <c r="A5" s="68" t="s">
        <v>0</v>
      </c>
      <c r="B5" s="76" t="s">
        <v>309</v>
      </c>
    </row>
    <row r="6" spans="1:2" x14ac:dyDescent="0.35">
      <c r="A6" s="68" t="s">
        <v>1</v>
      </c>
      <c r="B6" s="76" t="s">
        <v>310</v>
      </c>
    </row>
    <row r="7" spans="1:2" x14ac:dyDescent="0.35">
      <c r="A7" s="68" t="s">
        <v>3</v>
      </c>
      <c r="B7" s="76" t="s">
        <v>311</v>
      </c>
    </row>
    <row r="8" spans="1:2" x14ac:dyDescent="0.35">
      <c r="A8" s="68" t="s">
        <v>5</v>
      </c>
      <c r="B8" s="76" t="s">
        <v>312</v>
      </c>
    </row>
    <row r="9" spans="1:2" x14ac:dyDescent="0.35">
      <c r="A9" s="68" t="s">
        <v>235</v>
      </c>
      <c r="B9" s="76" t="s">
        <v>313</v>
      </c>
    </row>
    <row r="10" spans="1:2" x14ac:dyDescent="0.35">
      <c r="A10" s="68" t="s">
        <v>252</v>
      </c>
      <c r="B10" s="76" t="s">
        <v>314</v>
      </c>
    </row>
    <row r="11" spans="1:2" x14ac:dyDescent="0.35">
      <c r="A11" s="68" t="s">
        <v>237</v>
      </c>
      <c r="B11" s="76" t="s">
        <v>315</v>
      </c>
    </row>
    <row r="12" spans="1:2" x14ac:dyDescent="0.35">
      <c r="A12" s="68" t="s">
        <v>238</v>
      </c>
      <c r="B12" s="76" t="s">
        <v>316</v>
      </c>
    </row>
    <row r="13" spans="1:2" x14ac:dyDescent="0.35">
      <c r="A13" s="68" t="s">
        <v>182</v>
      </c>
      <c r="B13" s="76" t="s">
        <v>317</v>
      </c>
    </row>
    <row r="14" spans="1:2" x14ac:dyDescent="0.35">
      <c r="A14" s="69" t="s">
        <v>232</v>
      </c>
      <c r="B14" s="76" t="s">
        <v>318</v>
      </c>
    </row>
    <row r="15" spans="1:2" x14ac:dyDescent="0.35">
      <c r="A15" s="68" t="s">
        <v>219</v>
      </c>
      <c r="B15" s="76" t="s">
        <v>319</v>
      </c>
    </row>
    <row r="16" spans="1:2" x14ac:dyDescent="0.35">
      <c r="A16" s="68" t="s">
        <v>29</v>
      </c>
      <c r="B16" s="76" t="s">
        <v>321</v>
      </c>
    </row>
    <row r="17" spans="1:2" x14ac:dyDescent="0.35">
      <c r="A17" s="70" t="s">
        <v>28</v>
      </c>
      <c r="B17" s="76" t="s">
        <v>320</v>
      </c>
    </row>
    <row r="18" spans="1:2" x14ac:dyDescent="0.35">
      <c r="A18" s="68" t="s">
        <v>240</v>
      </c>
      <c r="B18" s="76" t="s">
        <v>322</v>
      </c>
    </row>
    <row r="19" spans="1:2" x14ac:dyDescent="0.35">
      <c r="A19" s="68" t="s">
        <v>239</v>
      </c>
      <c r="B19" s="76" t="s">
        <v>323</v>
      </c>
    </row>
    <row r="20" spans="1:2" x14ac:dyDescent="0.35">
      <c r="A20" s="71" t="s">
        <v>220</v>
      </c>
      <c r="B20" s="76" t="s">
        <v>325</v>
      </c>
    </row>
    <row r="21" spans="1:2" x14ac:dyDescent="0.35">
      <c r="A21" s="72" t="s">
        <v>221</v>
      </c>
      <c r="B21" s="76" t="s">
        <v>324</v>
      </c>
    </row>
    <row r="22" spans="1:2" x14ac:dyDescent="0.35">
      <c r="A22" s="72" t="s">
        <v>222</v>
      </c>
      <c r="B22" s="76" t="s">
        <v>326</v>
      </c>
    </row>
    <row r="23" spans="1:2" x14ac:dyDescent="0.35">
      <c r="A23" s="73" t="s">
        <v>229</v>
      </c>
      <c r="B23" s="76" t="s">
        <v>327</v>
      </c>
    </row>
    <row r="24" spans="1:2" x14ac:dyDescent="0.35">
      <c r="A24" s="73" t="s">
        <v>230</v>
      </c>
      <c r="B24" s="76" t="s">
        <v>328</v>
      </c>
    </row>
    <row r="25" spans="1:2" x14ac:dyDescent="0.35">
      <c r="A25" s="73" t="s">
        <v>231</v>
      </c>
      <c r="B25" s="76" t="s">
        <v>329</v>
      </c>
    </row>
    <row r="26" spans="1:2" x14ac:dyDescent="0.35">
      <c r="A26" s="73" t="s">
        <v>262</v>
      </c>
      <c r="B26" s="76" t="s">
        <v>330</v>
      </c>
    </row>
    <row r="27" spans="1:2" x14ac:dyDescent="0.35">
      <c r="A27" s="73" t="s">
        <v>307</v>
      </c>
      <c r="B27" s="76" t="s">
        <v>331</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022B-4296-4582-AF63-FE223B4B3BD3}">
  <sheetPr>
    <pageSetUpPr fitToPage="1"/>
  </sheetPr>
  <dimension ref="A1:AA110"/>
  <sheetViews>
    <sheetView tabSelected="1" topLeftCell="A2" zoomScale="90" zoomScaleNormal="90" workbookViewId="0">
      <pane xSplit="1" ySplit="1" topLeftCell="R85" activePane="bottomRight" state="frozen"/>
      <selection activeCell="A2" sqref="A2"/>
      <selection pane="topRight" activeCell="B2" sqref="B2"/>
      <selection pane="bottomLeft" activeCell="A3" sqref="A3"/>
      <selection pane="bottomRight" activeCell="X97" sqref="X97"/>
    </sheetView>
  </sheetViews>
  <sheetFormatPr defaultColWidth="8.77734375" defaultRowHeight="15" x14ac:dyDescent="0.3"/>
  <cols>
    <col min="1" max="1" width="7.5546875" style="7" bestFit="1" customWidth="1"/>
    <col min="2" max="2" width="9.21875" style="1" customWidth="1"/>
    <col min="3" max="3" width="11.44140625" style="7" customWidth="1"/>
    <col min="4" max="4" width="10" style="1" customWidth="1"/>
    <col min="5" max="5" width="12.77734375" style="1" customWidth="1"/>
    <col min="6" max="6" width="33.77734375" style="1" customWidth="1"/>
    <col min="7" max="7" width="11.21875" style="1" customWidth="1"/>
    <col min="8" max="8" width="15" style="1" customWidth="1"/>
    <col min="9" max="9" width="18.21875" style="1" customWidth="1"/>
    <col min="10" max="10" width="13.5546875" style="1" customWidth="1"/>
    <col min="11" max="11" width="21.77734375" style="1" customWidth="1"/>
    <col min="12" max="12" width="11.77734375" style="1" customWidth="1"/>
    <col min="13" max="13" width="17.21875" style="31" customWidth="1"/>
    <col min="14" max="14" width="17.21875" style="1" customWidth="1"/>
    <col min="15" max="15" width="49" style="20" customWidth="1"/>
    <col min="16" max="16" width="40.77734375" style="20" customWidth="1"/>
    <col min="17" max="17" width="15.21875" style="20" customWidth="1"/>
    <col min="18" max="18" width="20.21875" style="20" customWidth="1"/>
    <col min="19" max="19" width="14.77734375" style="54" customWidth="1"/>
    <col min="20" max="20" width="14.21875" style="28" customWidth="1"/>
    <col min="21" max="21" width="13.77734375" style="28" customWidth="1"/>
    <col min="22" max="22" width="17.77734375" style="47" customWidth="1"/>
    <col min="23" max="24" width="19.77734375" style="47" customWidth="1"/>
    <col min="25" max="25" width="19.21875" style="47" customWidth="1"/>
    <col min="26" max="26" width="20.44140625" style="47" customWidth="1"/>
    <col min="27" max="16384" width="8.77734375" style="1"/>
  </cols>
  <sheetData>
    <row r="1" spans="1:27" ht="19.2" x14ac:dyDescent="0.3">
      <c r="A1" s="252" t="s">
        <v>234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7" s="107" customFormat="1" ht="30" x14ac:dyDescent="0.3">
      <c r="A2" s="101" t="s">
        <v>2</v>
      </c>
      <c r="B2" s="99" t="s">
        <v>172</v>
      </c>
      <c r="C2" s="101" t="s">
        <v>11</v>
      </c>
      <c r="D2" s="99" t="s">
        <v>0</v>
      </c>
      <c r="E2" s="99" t="s">
        <v>1</v>
      </c>
      <c r="F2" s="99" t="s">
        <v>3</v>
      </c>
      <c r="G2" s="99" t="s">
        <v>5</v>
      </c>
      <c r="H2" s="99" t="s">
        <v>235</v>
      </c>
      <c r="I2" s="99" t="s">
        <v>252</v>
      </c>
      <c r="J2" s="99" t="s">
        <v>237</v>
      </c>
      <c r="K2" s="99" t="s">
        <v>238</v>
      </c>
      <c r="L2" s="99" t="s">
        <v>182</v>
      </c>
      <c r="M2" s="102" t="s">
        <v>232</v>
      </c>
      <c r="N2" s="99" t="s">
        <v>219</v>
      </c>
      <c r="O2" s="43" t="s">
        <v>29</v>
      </c>
      <c r="P2" s="43" t="s">
        <v>28</v>
      </c>
      <c r="Q2" s="99" t="s">
        <v>240</v>
      </c>
      <c r="R2" s="99" t="s">
        <v>239</v>
      </c>
      <c r="S2" s="103" t="s">
        <v>220</v>
      </c>
      <c r="T2" s="104" t="s">
        <v>221</v>
      </c>
      <c r="U2" s="104" t="s">
        <v>222</v>
      </c>
      <c r="V2" s="105" t="s">
        <v>229</v>
      </c>
      <c r="W2" s="105" t="s">
        <v>230</v>
      </c>
      <c r="X2" s="105" t="s">
        <v>231</v>
      </c>
      <c r="Y2" s="105" t="s">
        <v>262</v>
      </c>
      <c r="Z2" s="105" t="s">
        <v>307</v>
      </c>
      <c r="AA2" s="106"/>
    </row>
    <row r="3" spans="1:27" ht="45" x14ac:dyDescent="0.3">
      <c r="A3" s="66" t="s">
        <v>23</v>
      </c>
      <c r="B3" s="1">
        <v>0</v>
      </c>
      <c r="D3" s="1">
        <v>43.468910999999999</v>
      </c>
      <c r="E3" s="1">
        <v>-71.178551999999996</v>
      </c>
      <c r="F3" s="1" t="s">
        <v>26</v>
      </c>
      <c r="G3" s="2">
        <v>43335</v>
      </c>
      <c r="H3" s="4" t="s">
        <v>244</v>
      </c>
      <c r="I3" s="4" t="s">
        <v>253</v>
      </c>
      <c r="J3" s="2" t="s">
        <v>241</v>
      </c>
      <c r="K3" s="2" t="s">
        <v>236</v>
      </c>
      <c r="L3" s="2" t="s">
        <v>63</v>
      </c>
      <c r="M3" s="31">
        <v>1</v>
      </c>
      <c r="N3" s="2" t="s">
        <v>218</v>
      </c>
      <c r="O3" s="20" t="s">
        <v>118</v>
      </c>
      <c r="P3" s="20" t="s">
        <v>278</v>
      </c>
      <c r="Q3" s="98" t="s">
        <v>280</v>
      </c>
      <c r="R3" s="100" t="s">
        <v>266</v>
      </c>
      <c r="S3" s="54">
        <v>378.33450825420005</v>
      </c>
      <c r="T3" s="28">
        <v>0.57350361239100012</v>
      </c>
      <c r="U3" s="28">
        <v>0.5930463627</v>
      </c>
      <c r="V3" s="48">
        <v>3000</v>
      </c>
      <c r="W3" s="48">
        <v>5000</v>
      </c>
      <c r="X3" s="48">
        <f>AVERAGE(V3:W3)</f>
        <v>4000</v>
      </c>
      <c r="Y3" s="48">
        <f>X3/T3</f>
        <v>6974.67271971236</v>
      </c>
      <c r="Z3" s="48">
        <f>(X3*M3)/T3</f>
        <v>6974.67271971236</v>
      </c>
      <c r="AA3" s="3"/>
    </row>
    <row r="4" spans="1:27" ht="45" x14ac:dyDescent="0.3">
      <c r="A4" s="66">
        <v>2</v>
      </c>
      <c r="B4" s="1">
        <v>0</v>
      </c>
      <c r="D4" s="1">
        <v>43.476858</v>
      </c>
      <c r="E4" s="1">
        <v>-71.177493999999996</v>
      </c>
      <c r="F4" s="1" t="s">
        <v>67</v>
      </c>
      <c r="G4" s="2" t="s">
        <v>68</v>
      </c>
      <c r="H4" s="4" t="s">
        <v>243</v>
      </c>
      <c r="I4" s="4" t="s">
        <v>253</v>
      </c>
      <c r="J4" s="4" t="s">
        <v>241</v>
      </c>
      <c r="K4" s="2" t="s">
        <v>236</v>
      </c>
      <c r="L4" s="3" t="s">
        <v>63</v>
      </c>
      <c r="M4" s="38">
        <v>1</v>
      </c>
      <c r="N4" s="2" t="s">
        <v>218</v>
      </c>
      <c r="O4" s="94" t="s">
        <v>263</v>
      </c>
      <c r="P4" s="20" t="s">
        <v>264</v>
      </c>
      <c r="Q4" s="100" t="s">
        <v>265</v>
      </c>
      <c r="R4" s="100" t="s">
        <v>266</v>
      </c>
      <c r="S4" s="54">
        <v>191.8192873662</v>
      </c>
      <c r="T4" s="28">
        <v>0.44394657079500005</v>
      </c>
      <c r="U4" s="28">
        <v>1.3926468644550003</v>
      </c>
      <c r="V4" s="48">
        <v>3000</v>
      </c>
      <c r="W4" s="48">
        <v>5000</v>
      </c>
      <c r="X4" s="48">
        <f>AVERAGE(V4:W4)</f>
        <v>4000</v>
      </c>
      <c r="Y4" s="48">
        <f>X4/T4</f>
        <v>9010.0932480162537</v>
      </c>
      <c r="Z4" s="48">
        <f>(X4*M4)/T4</f>
        <v>9010.0932480162537</v>
      </c>
      <c r="AA4" s="3"/>
    </row>
    <row r="5" spans="1:27" ht="60" x14ac:dyDescent="0.3">
      <c r="A5" s="63">
        <v>3</v>
      </c>
      <c r="B5" s="1">
        <v>1</v>
      </c>
      <c r="C5" s="7" t="s">
        <v>17</v>
      </c>
      <c r="D5" s="1">
        <v>43.476726999999997</v>
      </c>
      <c r="E5" s="1">
        <v>-71.177816000000007</v>
      </c>
      <c r="F5" s="1" t="s">
        <v>69</v>
      </c>
      <c r="G5" s="2" t="s">
        <v>70</v>
      </c>
      <c r="H5" s="2" t="s">
        <v>244</v>
      </c>
      <c r="I5" s="4" t="s">
        <v>253</v>
      </c>
      <c r="J5" s="4" t="s">
        <v>241</v>
      </c>
      <c r="K5" s="2" t="s">
        <v>236</v>
      </c>
      <c r="L5" s="2" t="s">
        <v>63</v>
      </c>
      <c r="M5" s="64">
        <v>0.5</v>
      </c>
      <c r="N5" s="2" t="s">
        <v>218</v>
      </c>
      <c r="O5" s="94" t="s">
        <v>59</v>
      </c>
      <c r="P5" s="20" t="s">
        <v>62</v>
      </c>
      <c r="Q5" s="100" t="s">
        <v>274</v>
      </c>
      <c r="R5" s="98" t="s">
        <v>269</v>
      </c>
      <c r="S5" s="54">
        <v>1261.5432445170004</v>
      </c>
      <c r="T5" s="28">
        <v>3.0153202457625006</v>
      </c>
      <c r="U5" s="28">
        <v>1.7589901824000016</v>
      </c>
      <c r="V5" s="48">
        <v>100000</v>
      </c>
      <c r="W5" s="48">
        <v>150000</v>
      </c>
      <c r="X5" s="48">
        <f>AVERAGE(V5:W5)</f>
        <v>125000</v>
      </c>
      <c r="Y5" s="48">
        <f>X5/T5</f>
        <v>41454.966574666621</v>
      </c>
      <c r="Z5" s="48">
        <f>(X5*M5)/T5</f>
        <v>20727.483287333311</v>
      </c>
      <c r="AA5" s="3"/>
    </row>
    <row r="6" spans="1:27" ht="60" x14ac:dyDescent="0.35">
      <c r="A6" s="63">
        <v>4</v>
      </c>
      <c r="B6" s="1">
        <v>1</v>
      </c>
      <c r="C6" s="7" t="s">
        <v>17</v>
      </c>
      <c r="D6" s="1">
        <v>43.476515999999997</v>
      </c>
      <c r="E6" s="1">
        <v>-71.178612000000001</v>
      </c>
      <c r="F6" s="1" t="s">
        <v>69</v>
      </c>
      <c r="G6" s="2" t="s">
        <v>70</v>
      </c>
      <c r="H6" s="2" t="s">
        <v>244</v>
      </c>
      <c r="I6" s="4" t="s">
        <v>253</v>
      </c>
      <c r="J6" s="4" t="s">
        <v>241</v>
      </c>
      <c r="K6" s="2" t="s">
        <v>256</v>
      </c>
      <c r="L6" s="2" t="s">
        <v>63</v>
      </c>
      <c r="M6" s="64">
        <v>0.5</v>
      </c>
      <c r="N6" s="2" t="s">
        <v>218</v>
      </c>
      <c r="O6" s="94" t="s">
        <v>60</v>
      </c>
      <c r="P6" s="20" t="s">
        <v>61</v>
      </c>
      <c r="Q6" s="100" t="s">
        <v>283</v>
      </c>
      <c r="R6" s="98" t="s">
        <v>284</v>
      </c>
      <c r="S6" s="78" t="s">
        <v>223</v>
      </c>
      <c r="T6" s="79"/>
      <c r="U6" s="79"/>
      <c r="V6" s="49"/>
      <c r="W6" s="49"/>
      <c r="X6" s="49"/>
      <c r="Y6" s="48"/>
      <c r="Z6" s="48">
        <v>10363.741643666655</v>
      </c>
      <c r="AA6" s="3"/>
    </row>
    <row r="7" spans="1:27" ht="90" x14ac:dyDescent="0.3">
      <c r="A7" s="63">
        <v>5</v>
      </c>
      <c r="B7" s="1">
        <v>1</v>
      </c>
      <c r="D7" s="1">
        <v>43.476512999999997</v>
      </c>
      <c r="E7" s="1">
        <v>-71.178852000000006</v>
      </c>
      <c r="F7" s="1" t="s">
        <v>4</v>
      </c>
      <c r="G7" s="2">
        <v>43279</v>
      </c>
      <c r="H7" s="2" t="s">
        <v>244</v>
      </c>
      <c r="I7" s="4" t="s">
        <v>253</v>
      </c>
      <c r="J7" s="4" t="s">
        <v>241</v>
      </c>
      <c r="K7" s="2" t="s">
        <v>257</v>
      </c>
      <c r="L7" s="2" t="s">
        <v>63</v>
      </c>
      <c r="M7" s="64">
        <v>0.3</v>
      </c>
      <c r="N7" s="2" t="s">
        <v>218</v>
      </c>
      <c r="O7" s="94" t="s">
        <v>285</v>
      </c>
      <c r="P7" s="20" t="s">
        <v>65</v>
      </c>
      <c r="Q7" s="100" t="s">
        <v>270</v>
      </c>
      <c r="R7" s="100" t="s">
        <v>268</v>
      </c>
      <c r="S7" s="54">
        <v>1252.9783979910001</v>
      </c>
      <c r="T7" s="28">
        <v>2.7584596830374997</v>
      </c>
      <c r="U7" s="28">
        <v>2.4189660269999997</v>
      </c>
      <c r="V7" s="49">
        <v>100000</v>
      </c>
      <c r="W7" s="49">
        <v>150000</v>
      </c>
      <c r="X7" s="48">
        <f>AVERAGE(V7:W7)</f>
        <v>125000</v>
      </c>
      <c r="Y7" s="48">
        <f>X7/T7</f>
        <v>45315.144813845989</v>
      </c>
      <c r="Z7" s="48">
        <f>(X7*M7)/T7</f>
        <v>13594.543444153796</v>
      </c>
      <c r="AA7" s="3"/>
    </row>
    <row r="8" spans="1:27" ht="90" x14ac:dyDescent="0.35">
      <c r="A8" s="63">
        <v>6</v>
      </c>
      <c r="B8" s="1">
        <v>1</v>
      </c>
      <c r="C8" s="7" t="s">
        <v>25</v>
      </c>
      <c r="D8" s="1">
        <v>43.476736000000002</v>
      </c>
      <c r="E8" s="1">
        <v>-71.179261999999994</v>
      </c>
      <c r="F8" s="1" t="s">
        <v>69</v>
      </c>
      <c r="G8" s="2" t="s">
        <v>70</v>
      </c>
      <c r="H8" s="2" t="s">
        <v>244</v>
      </c>
      <c r="I8" s="4" t="s">
        <v>253</v>
      </c>
      <c r="J8" s="4" t="s">
        <v>241</v>
      </c>
      <c r="K8" s="2" t="s">
        <v>257</v>
      </c>
      <c r="L8" s="2" t="s">
        <v>63</v>
      </c>
      <c r="M8" s="64">
        <v>0.3</v>
      </c>
      <c r="N8" s="2" t="s">
        <v>218</v>
      </c>
      <c r="O8" s="94" t="s">
        <v>66</v>
      </c>
      <c r="P8" s="20" t="s">
        <v>228</v>
      </c>
      <c r="Q8" s="100" t="s">
        <v>274</v>
      </c>
      <c r="R8" s="98" t="s">
        <v>269</v>
      </c>
      <c r="S8" s="78" t="s">
        <v>286</v>
      </c>
      <c r="T8" s="79"/>
      <c r="U8" s="79"/>
      <c r="V8" s="49"/>
      <c r="W8" s="49"/>
      <c r="X8" s="49"/>
      <c r="Y8" s="48"/>
      <c r="Z8" s="48">
        <v>10876</v>
      </c>
      <c r="AA8" s="3"/>
    </row>
    <row r="9" spans="1:27" ht="45" x14ac:dyDescent="0.3">
      <c r="A9" s="63">
        <v>31</v>
      </c>
      <c r="B9" s="1">
        <v>2</v>
      </c>
      <c r="C9" s="8" t="s">
        <v>18</v>
      </c>
      <c r="D9" s="1">
        <v>43.459301000000004</v>
      </c>
      <c r="E9" s="1">
        <v>-71.177055999999993</v>
      </c>
      <c r="F9" s="1" t="s">
        <v>13</v>
      </c>
      <c r="G9" s="2" t="s">
        <v>100</v>
      </c>
      <c r="H9" s="4" t="s">
        <v>244</v>
      </c>
      <c r="I9" s="4" t="s">
        <v>253</v>
      </c>
      <c r="J9" s="4" t="s">
        <v>241</v>
      </c>
      <c r="K9" s="2" t="s">
        <v>258</v>
      </c>
      <c r="L9" s="2" t="s">
        <v>63</v>
      </c>
      <c r="M9" s="64">
        <v>0.7</v>
      </c>
      <c r="N9" s="2" t="s">
        <v>218</v>
      </c>
      <c r="O9" s="94" t="s">
        <v>101</v>
      </c>
      <c r="P9" s="20" t="s">
        <v>95</v>
      </c>
      <c r="Q9" s="98" t="s">
        <v>270</v>
      </c>
      <c r="R9" s="98" t="s">
        <v>281</v>
      </c>
      <c r="S9" s="54">
        <v>490.71396105802449</v>
      </c>
      <c r="T9" s="28">
        <v>1.2375420821170251</v>
      </c>
      <c r="U9" s="28">
        <v>0.72617054089864475</v>
      </c>
      <c r="V9" s="49">
        <v>15000</v>
      </c>
      <c r="W9" s="49">
        <v>30000</v>
      </c>
      <c r="X9" s="48">
        <f t="shared" ref="X9:X40" si="0">AVERAGE(V9:W9)</f>
        <v>22500</v>
      </c>
      <c r="Y9" s="48">
        <f t="shared" ref="Y9:Y40" si="1">X9/T9</f>
        <v>18181.199916458554</v>
      </c>
      <c r="Z9" s="48">
        <f t="shared" ref="Z9:Z40" si="2">(X9*M9)/T9</f>
        <v>12726.839941520986</v>
      </c>
    </row>
    <row r="10" spans="1:27" ht="45" x14ac:dyDescent="0.3">
      <c r="A10" s="63">
        <v>35</v>
      </c>
      <c r="B10" s="1">
        <v>2</v>
      </c>
      <c r="C10" s="8" t="s">
        <v>18</v>
      </c>
      <c r="D10" s="3">
        <v>43.458897999999998</v>
      </c>
      <c r="E10" s="3">
        <v>-71.177207999999993</v>
      </c>
      <c r="F10" s="1" t="s">
        <v>13</v>
      </c>
      <c r="G10" s="2" t="s">
        <v>22</v>
      </c>
      <c r="H10" s="2" t="s">
        <v>245</v>
      </c>
      <c r="I10" s="4" t="s">
        <v>253</v>
      </c>
      <c r="J10" s="4" t="s">
        <v>241</v>
      </c>
      <c r="K10" s="2" t="s">
        <v>258</v>
      </c>
      <c r="L10" s="2" t="s">
        <v>63</v>
      </c>
      <c r="M10" s="31">
        <v>1</v>
      </c>
      <c r="N10" s="2" t="s">
        <v>218</v>
      </c>
      <c r="O10" s="94" t="s">
        <v>102</v>
      </c>
      <c r="P10" s="20" t="s">
        <v>95</v>
      </c>
      <c r="Q10" s="98" t="s">
        <v>270</v>
      </c>
      <c r="R10" s="98" t="s">
        <v>281</v>
      </c>
      <c r="S10" s="54">
        <v>760.79646117540005</v>
      </c>
      <c r="T10" s="28">
        <v>1.6457654031390003</v>
      </c>
      <c r="U10" s="28">
        <v>1.4044555413000008</v>
      </c>
      <c r="V10" s="49">
        <v>15000</v>
      </c>
      <c r="W10" s="49">
        <v>30000</v>
      </c>
      <c r="X10" s="48">
        <f t="shared" si="0"/>
        <v>22500</v>
      </c>
      <c r="Y10" s="48">
        <f t="shared" si="1"/>
        <v>13671.450351967123</v>
      </c>
      <c r="Z10" s="48">
        <f t="shared" si="2"/>
        <v>13671.450351967123</v>
      </c>
      <c r="AA10" s="3"/>
    </row>
    <row r="11" spans="1:27" ht="30" x14ac:dyDescent="0.3">
      <c r="A11" s="63" t="s">
        <v>35</v>
      </c>
      <c r="B11" s="3">
        <v>3</v>
      </c>
      <c r="C11" s="8"/>
      <c r="D11" s="3">
        <v>43.450392999999998</v>
      </c>
      <c r="E11" s="3">
        <v>-71.223713000000004</v>
      </c>
      <c r="F11" s="3" t="s">
        <v>56</v>
      </c>
      <c r="G11" s="4">
        <v>43370</v>
      </c>
      <c r="H11" s="4" t="s">
        <v>244</v>
      </c>
      <c r="I11" s="4" t="s">
        <v>253</v>
      </c>
      <c r="J11" s="4" t="s">
        <v>242</v>
      </c>
      <c r="K11" s="4" t="s">
        <v>261</v>
      </c>
      <c r="L11" s="3" t="s">
        <v>63</v>
      </c>
      <c r="M11" s="38">
        <v>1</v>
      </c>
      <c r="N11" s="4" t="s">
        <v>218</v>
      </c>
      <c r="O11" s="40" t="s">
        <v>143</v>
      </c>
      <c r="P11" s="40" t="s">
        <v>144</v>
      </c>
      <c r="Q11" s="98" t="s">
        <v>270</v>
      </c>
      <c r="R11" s="100" t="s">
        <v>268</v>
      </c>
      <c r="S11" s="57">
        <v>275.08472880300008</v>
      </c>
      <c r="T11" s="30">
        <v>0.71609860822500027</v>
      </c>
      <c r="U11" s="30">
        <v>0.48910265730000013</v>
      </c>
      <c r="V11" s="48">
        <v>40000</v>
      </c>
      <c r="W11" s="48">
        <v>65000</v>
      </c>
      <c r="X11" s="48">
        <f t="shared" si="0"/>
        <v>52500</v>
      </c>
      <c r="Y11" s="48">
        <f t="shared" si="1"/>
        <v>73313.925480363934</v>
      </c>
      <c r="Z11" s="48">
        <f t="shared" si="2"/>
        <v>73313.925480363934</v>
      </c>
      <c r="AA11" s="3"/>
    </row>
    <row r="12" spans="1:27" ht="75" x14ac:dyDescent="0.3">
      <c r="A12" s="63" t="s">
        <v>179</v>
      </c>
      <c r="B12" s="3">
        <v>4</v>
      </c>
      <c r="C12" s="8"/>
      <c r="D12" s="3">
        <v>43.429246999999997</v>
      </c>
      <c r="E12" s="3">
        <v>-71.253054000000006</v>
      </c>
      <c r="F12" s="3" t="s">
        <v>56</v>
      </c>
      <c r="G12" s="4">
        <v>43370</v>
      </c>
      <c r="H12" s="4" t="s">
        <v>246</v>
      </c>
      <c r="I12" s="4" t="s">
        <v>253</v>
      </c>
      <c r="J12" s="4" t="s">
        <v>242</v>
      </c>
      <c r="K12" s="4" t="s">
        <v>236</v>
      </c>
      <c r="L12" s="3" t="s">
        <v>63</v>
      </c>
      <c r="M12" s="38">
        <v>1</v>
      </c>
      <c r="N12" s="2" t="s">
        <v>218</v>
      </c>
      <c r="O12" s="40" t="s">
        <v>132</v>
      </c>
      <c r="P12" s="40" t="s">
        <v>130</v>
      </c>
      <c r="Q12" s="98" t="s">
        <v>270</v>
      </c>
      <c r="R12" s="98" t="s">
        <v>269</v>
      </c>
      <c r="S12" s="55">
        <v>796.64543809055999</v>
      </c>
      <c r="T12" s="41">
        <v>1.5910015299975004</v>
      </c>
      <c r="U12" s="41">
        <v>9.2864727885599976</v>
      </c>
      <c r="V12" s="49">
        <v>15000</v>
      </c>
      <c r="W12" s="49">
        <v>30000</v>
      </c>
      <c r="X12" s="48">
        <f t="shared" si="0"/>
        <v>22500</v>
      </c>
      <c r="Y12" s="48">
        <f t="shared" si="1"/>
        <v>14142.035425971808</v>
      </c>
      <c r="Z12" s="48">
        <f t="shared" si="2"/>
        <v>14142.035425971808</v>
      </c>
      <c r="AA12" s="3"/>
    </row>
    <row r="13" spans="1:27" ht="45" x14ac:dyDescent="0.3">
      <c r="A13" s="63" t="s">
        <v>178</v>
      </c>
      <c r="B13" s="3">
        <v>4</v>
      </c>
      <c r="C13" s="8"/>
      <c r="D13" s="3">
        <v>43.427869000000001</v>
      </c>
      <c r="E13" s="3">
        <v>-71.252183000000002</v>
      </c>
      <c r="F13" s="3" t="s">
        <v>56</v>
      </c>
      <c r="G13" s="4">
        <v>43370</v>
      </c>
      <c r="H13" s="4" t="s">
        <v>246</v>
      </c>
      <c r="I13" s="4" t="s">
        <v>254</v>
      </c>
      <c r="J13" s="4" t="s">
        <v>242</v>
      </c>
      <c r="K13" s="4" t="s">
        <v>236</v>
      </c>
      <c r="L13" s="3" t="s">
        <v>63</v>
      </c>
      <c r="M13" s="64">
        <v>0.5</v>
      </c>
      <c r="N13" s="3" t="s">
        <v>183</v>
      </c>
      <c r="O13" s="40" t="s">
        <v>133</v>
      </c>
      <c r="P13" s="40" t="s">
        <v>130</v>
      </c>
      <c r="Q13" s="98" t="s">
        <v>270</v>
      </c>
      <c r="R13" s="98" t="s">
        <v>269</v>
      </c>
      <c r="S13" s="55">
        <v>812.5</v>
      </c>
      <c r="T13" s="41">
        <v>0.34531250000000002</v>
      </c>
      <c r="U13" s="41">
        <v>0.69062500000000004</v>
      </c>
      <c r="V13" s="48">
        <v>5000</v>
      </c>
      <c r="W13" s="48">
        <v>15000</v>
      </c>
      <c r="X13" s="48">
        <f t="shared" si="0"/>
        <v>10000</v>
      </c>
      <c r="Y13" s="48">
        <f t="shared" si="1"/>
        <v>28959.276018099546</v>
      </c>
      <c r="Z13" s="48">
        <f t="shared" si="2"/>
        <v>14479.638009049773</v>
      </c>
      <c r="AA13" s="3"/>
    </row>
    <row r="14" spans="1:27" ht="75" x14ac:dyDescent="0.3">
      <c r="A14" s="63" t="s">
        <v>41</v>
      </c>
      <c r="B14" s="1">
        <v>5</v>
      </c>
      <c r="D14" s="3">
        <v>43.412058999999999</v>
      </c>
      <c r="E14" s="3">
        <v>-71.249791999999999</v>
      </c>
      <c r="F14" s="1" t="s">
        <v>56</v>
      </c>
      <c r="G14" s="2">
        <v>43370</v>
      </c>
      <c r="H14" s="4" t="s">
        <v>246</v>
      </c>
      <c r="I14" s="4" t="s">
        <v>255</v>
      </c>
      <c r="J14" s="4" t="s">
        <v>242</v>
      </c>
      <c r="K14" s="4" t="s">
        <v>236</v>
      </c>
      <c r="L14" s="3" t="s">
        <v>63</v>
      </c>
      <c r="M14" s="38">
        <v>1</v>
      </c>
      <c r="N14" s="1" t="s">
        <v>183</v>
      </c>
      <c r="O14" s="20" t="s">
        <v>277</v>
      </c>
      <c r="P14" s="20" t="s">
        <v>130</v>
      </c>
      <c r="Q14" s="100" t="s">
        <v>270</v>
      </c>
      <c r="R14" s="98" t="s">
        <v>269</v>
      </c>
      <c r="S14" s="53">
        <v>6250</v>
      </c>
      <c r="T14" s="29">
        <v>2.65625</v>
      </c>
      <c r="U14" s="29">
        <v>5.3125</v>
      </c>
      <c r="V14" s="48">
        <v>30000</v>
      </c>
      <c r="W14" s="48">
        <v>50000</v>
      </c>
      <c r="X14" s="48">
        <f t="shared" si="0"/>
        <v>40000</v>
      </c>
      <c r="Y14" s="48">
        <f t="shared" si="1"/>
        <v>15058.823529411764</v>
      </c>
      <c r="Z14" s="48">
        <f t="shared" si="2"/>
        <v>15058.823529411764</v>
      </c>
      <c r="AA14" s="3"/>
    </row>
    <row r="15" spans="1:27" ht="45" x14ac:dyDescent="0.3">
      <c r="A15" s="63" t="s">
        <v>42</v>
      </c>
      <c r="B15" s="1">
        <v>5</v>
      </c>
      <c r="D15" s="3">
        <v>43.410071000000002</v>
      </c>
      <c r="E15" s="3">
        <v>-71.238198999999994</v>
      </c>
      <c r="F15" s="1" t="s">
        <v>56</v>
      </c>
      <c r="G15" s="2">
        <v>43370</v>
      </c>
      <c r="H15" s="4" t="s">
        <v>246</v>
      </c>
      <c r="I15" s="4" t="s">
        <v>254</v>
      </c>
      <c r="J15" s="4" t="s">
        <v>242</v>
      </c>
      <c r="K15" s="4" t="s">
        <v>236</v>
      </c>
      <c r="L15" s="3" t="s">
        <v>63</v>
      </c>
      <c r="M15" s="38">
        <v>1</v>
      </c>
      <c r="N15" s="1" t="s">
        <v>183</v>
      </c>
      <c r="O15" s="20" t="s">
        <v>153</v>
      </c>
      <c r="P15" s="20" t="s">
        <v>130</v>
      </c>
      <c r="Q15" s="98" t="s">
        <v>270</v>
      </c>
      <c r="R15" s="98" t="s">
        <v>269</v>
      </c>
      <c r="S15" s="54">
        <v>2500</v>
      </c>
      <c r="T15" s="28">
        <v>1.0625</v>
      </c>
      <c r="U15" s="28">
        <v>2.125</v>
      </c>
      <c r="V15" s="49">
        <v>15000</v>
      </c>
      <c r="W15" s="49">
        <v>20000</v>
      </c>
      <c r="X15" s="48">
        <f t="shared" si="0"/>
        <v>17500</v>
      </c>
      <c r="Y15" s="48">
        <f t="shared" si="1"/>
        <v>16470.588235294119</v>
      </c>
      <c r="Z15" s="48">
        <f t="shared" si="2"/>
        <v>16470.588235294119</v>
      </c>
      <c r="AA15" s="3"/>
    </row>
    <row r="16" spans="1:27" ht="45" x14ac:dyDescent="0.3">
      <c r="A16" s="63">
        <v>39</v>
      </c>
      <c r="B16" s="3">
        <v>6</v>
      </c>
      <c r="C16" s="8" t="s">
        <v>43</v>
      </c>
      <c r="D16" s="3">
        <v>43.417011000000002</v>
      </c>
      <c r="E16" s="3">
        <v>-71.217743999999996</v>
      </c>
      <c r="F16" s="3" t="s">
        <v>67</v>
      </c>
      <c r="G16" s="4" t="s">
        <v>112</v>
      </c>
      <c r="H16" s="4" t="s">
        <v>246</v>
      </c>
      <c r="I16" s="4" t="s">
        <v>253</v>
      </c>
      <c r="J16" s="4" t="s">
        <v>242</v>
      </c>
      <c r="K16" s="4" t="s">
        <v>236</v>
      </c>
      <c r="L16" s="3" t="s">
        <v>63</v>
      </c>
      <c r="M16" s="38">
        <v>1</v>
      </c>
      <c r="N16" s="4" t="s">
        <v>218</v>
      </c>
      <c r="O16" s="40" t="s">
        <v>113</v>
      </c>
      <c r="P16" s="40" t="s">
        <v>92</v>
      </c>
      <c r="Q16" s="98" t="s">
        <v>270</v>
      </c>
      <c r="R16" s="98" t="s">
        <v>269</v>
      </c>
      <c r="S16" s="57">
        <v>554.75500077000004</v>
      </c>
      <c r="T16" s="30">
        <v>1.3495947221249998</v>
      </c>
      <c r="U16" s="30">
        <v>0.74855674799999949</v>
      </c>
      <c r="V16" s="49">
        <v>15000</v>
      </c>
      <c r="W16" s="49">
        <v>30000</v>
      </c>
      <c r="X16" s="48">
        <f t="shared" si="0"/>
        <v>22500</v>
      </c>
      <c r="Y16" s="48">
        <f t="shared" si="1"/>
        <v>16671.671599732326</v>
      </c>
      <c r="Z16" s="48">
        <f t="shared" si="2"/>
        <v>16671.671599732326</v>
      </c>
      <c r="AA16" s="3"/>
    </row>
    <row r="17" spans="1:27" ht="45" x14ac:dyDescent="0.3">
      <c r="A17" s="63" t="s">
        <v>30</v>
      </c>
      <c r="B17" s="3">
        <v>7</v>
      </c>
      <c r="C17" s="8"/>
      <c r="D17" s="3">
        <v>43.432757000000002</v>
      </c>
      <c r="E17" s="3">
        <v>-71.259074999999996</v>
      </c>
      <c r="F17" s="3" t="s">
        <v>56</v>
      </c>
      <c r="G17" s="4">
        <v>43370</v>
      </c>
      <c r="H17" s="4" t="s">
        <v>246</v>
      </c>
      <c r="I17" s="4" t="s">
        <v>254</v>
      </c>
      <c r="J17" s="4" t="s">
        <v>242</v>
      </c>
      <c r="K17" s="4" t="s">
        <v>236</v>
      </c>
      <c r="L17" s="3" t="s">
        <v>63</v>
      </c>
      <c r="M17" s="38">
        <v>1</v>
      </c>
      <c r="N17" s="3" t="s">
        <v>183</v>
      </c>
      <c r="O17" s="40" t="s">
        <v>136</v>
      </c>
      <c r="P17" s="40" t="s">
        <v>130</v>
      </c>
      <c r="Q17" s="98" t="s">
        <v>270</v>
      </c>
      <c r="R17" s="98" t="s">
        <v>269</v>
      </c>
      <c r="S17" s="55">
        <v>1000</v>
      </c>
      <c r="T17" s="41">
        <v>0.42499999999999999</v>
      </c>
      <c r="U17" s="41">
        <v>0.85</v>
      </c>
      <c r="V17" s="48">
        <v>5000</v>
      </c>
      <c r="W17" s="48">
        <v>10000</v>
      </c>
      <c r="X17" s="48">
        <f t="shared" si="0"/>
        <v>7500</v>
      </c>
      <c r="Y17" s="48">
        <f t="shared" si="1"/>
        <v>17647.058823529413</v>
      </c>
      <c r="Z17" s="48">
        <f t="shared" si="2"/>
        <v>17647.058823529413</v>
      </c>
      <c r="AA17" s="3"/>
    </row>
    <row r="18" spans="1:27" s="3" customFormat="1" ht="45" x14ac:dyDescent="0.3">
      <c r="A18" s="63" t="s">
        <v>181</v>
      </c>
      <c r="B18" s="1">
        <v>7</v>
      </c>
      <c r="C18" s="7"/>
      <c r="D18" s="3">
        <v>43.430968</v>
      </c>
      <c r="E18" s="3">
        <v>-71.265052999999995</v>
      </c>
      <c r="F18" s="1" t="s">
        <v>56</v>
      </c>
      <c r="G18" s="2">
        <v>43370</v>
      </c>
      <c r="H18" s="4" t="s">
        <v>246</v>
      </c>
      <c r="I18" s="4" t="s">
        <v>254</v>
      </c>
      <c r="J18" s="4" t="s">
        <v>242</v>
      </c>
      <c r="K18" s="2" t="s">
        <v>236</v>
      </c>
      <c r="L18" s="3" t="s">
        <v>63</v>
      </c>
      <c r="M18" s="38">
        <v>1</v>
      </c>
      <c r="N18" s="1" t="s">
        <v>183</v>
      </c>
      <c r="O18" s="20" t="s">
        <v>136</v>
      </c>
      <c r="P18" s="20" t="s">
        <v>130</v>
      </c>
      <c r="Q18" s="98" t="s">
        <v>270</v>
      </c>
      <c r="R18" s="98" t="s">
        <v>269</v>
      </c>
      <c r="S18" s="53">
        <v>2250</v>
      </c>
      <c r="T18" s="29">
        <v>0.95625000000000016</v>
      </c>
      <c r="U18" s="29">
        <v>1.9125000000000003</v>
      </c>
      <c r="V18" s="49">
        <v>15000</v>
      </c>
      <c r="W18" s="49">
        <v>20000</v>
      </c>
      <c r="X18" s="48">
        <f t="shared" si="0"/>
        <v>17500</v>
      </c>
      <c r="Y18" s="48">
        <f t="shared" si="1"/>
        <v>18300.65359477124</v>
      </c>
      <c r="Z18" s="48">
        <f t="shared" si="2"/>
        <v>18300.65359477124</v>
      </c>
    </row>
    <row r="19" spans="1:27" s="3" customFormat="1" ht="60" x14ac:dyDescent="0.3">
      <c r="A19" s="63" t="s">
        <v>46</v>
      </c>
      <c r="B19" s="3">
        <v>8</v>
      </c>
      <c r="C19" s="8"/>
      <c r="D19" s="3">
        <v>43.421824000000001</v>
      </c>
      <c r="E19" s="3">
        <v>-71.175120000000007</v>
      </c>
      <c r="F19" s="3" t="s">
        <v>56</v>
      </c>
      <c r="G19" s="4">
        <v>43370</v>
      </c>
      <c r="H19" s="4" t="s">
        <v>246</v>
      </c>
      <c r="I19" s="4" t="s">
        <v>253</v>
      </c>
      <c r="J19" s="4" t="s">
        <v>242</v>
      </c>
      <c r="K19" s="4" t="s">
        <v>261</v>
      </c>
      <c r="L19" s="3" t="s">
        <v>63</v>
      </c>
      <c r="M19" s="38">
        <v>1</v>
      </c>
      <c r="N19" s="4" t="s">
        <v>218</v>
      </c>
      <c r="O19" s="40" t="s">
        <v>157</v>
      </c>
      <c r="P19" s="40" t="s">
        <v>279</v>
      </c>
      <c r="Q19" s="98" t="s">
        <v>270</v>
      </c>
      <c r="R19" s="98" t="s">
        <v>269</v>
      </c>
      <c r="S19" s="55">
        <v>504.23881576500003</v>
      </c>
      <c r="T19" s="41">
        <v>1.1451185708625005</v>
      </c>
      <c r="U19" s="41">
        <v>0.70321115880000029</v>
      </c>
      <c r="V19" s="49">
        <v>15000</v>
      </c>
      <c r="W19" s="49">
        <v>30000</v>
      </c>
      <c r="X19" s="48">
        <f t="shared" si="0"/>
        <v>22500</v>
      </c>
      <c r="Y19" s="48">
        <f t="shared" si="1"/>
        <v>19648.620302309006</v>
      </c>
      <c r="Z19" s="48">
        <f t="shared" si="2"/>
        <v>19648.620302309006</v>
      </c>
    </row>
    <row r="20" spans="1:27" ht="105" x14ac:dyDescent="0.3">
      <c r="A20" s="63">
        <v>40</v>
      </c>
      <c r="B20" s="1">
        <v>9</v>
      </c>
      <c r="C20" s="8" t="s">
        <v>19</v>
      </c>
      <c r="D20" s="3">
        <v>43.455115999999997</v>
      </c>
      <c r="E20" s="3">
        <v>-71.227498999999995</v>
      </c>
      <c r="F20" s="1" t="s">
        <v>69</v>
      </c>
      <c r="G20" s="2" t="s">
        <v>114</v>
      </c>
      <c r="H20" s="4" t="s">
        <v>244</v>
      </c>
      <c r="I20" s="4" t="s">
        <v>253</v>
      </c>
      <c r="J20" s="4" t="s">
        <v>242</v>
      </c>
      <c r="K20" s="4" t="s">
        <v>236</v>
      </c>
      <c r="L20" s="2" t="s">
        <v>63</v>
      </c>
      <c r="M20" s="64">
        <v>0.5</v>
      </c>
      <c r="N20" s="2" t="s">
        <v>218</v>
      </c>
      <c r="O20" s="20" t="s">
        <v>115</v>
      </c>
      <c r="P20" s="20" t="s">
        <v>116</v>
      </c>
      <c r="Q20" s="100" t="s">
        <v>270</v>
      </c>
      <c r="R20" s="100" t="s">
        <v>276</v>
      </c>
      <c r="S20" s="54">
        <v>505.71558621000003</v>
      </c>
      <c r="T20" s="28">
        <v>0.99402815655000021</v>
      </c>
      <c r="U20" s="28">
        <v>2.3181286463999995</v>
      </c>
      <c r="V20" s="48">
        <v>30000</v>
      </c>
      <c r="W20" s="48">
        <v>50000</v>
      </c>
      <c r="X20" s="48">
        <f t="shared" si="0"/>
        <v>40000</v>
      </c>
      <c r="Y20" s="48">
        <f t="shared" si="1"/>
        <v>40240.308824680636</v>
      </c>
      <c r="Z20" s="48">
        <f t="shared" si="2"/>
        <v>20120.154412340318</v>
      </c>
      <c r="AA20" s="3"/>
    </row>
    <row r="21" spans="1:27" s="3" customFormat="1" ht="30" x14ac:dyDescent="0.3">
      <c r="A21" s="63" t="s">
        <v>49</v>
      </c>
      <c r="B21" s="3">
        <v>10</v>
      </c>
      <c r="C21" s="7"/>
      <c r="D21" s="3">
        <v>43.444619000000003</v>
      </c>
      <c r="E21" s="3">
        <v>-71.195273</v>
      </c>
      <c r="F21" s="1" t="s">
        <v>56</v>
      </c>
      <c r="G21" s="2">
        <v>43370</v>
      </c>
      <c r="H21" s="2" t="s">
        <v>248</v>
      </c>
      <c r="I21" s="4" t="s">
        <v>253</v>
      </c>
      <c r="J21" s="4" t="s">
        <v>242</v>
      </c>
      <c r="K21" s="2" t="s">
        <v>260</v>
      </c>
      <c r="L21" s="2" t="s">
        <v>63</v>
      </c>
      <c r="M21" s="31">
        <v>1</v>
      </c>
      <c r="N21" s="2" t="s">
        <v>218</v>
      </c>
      <c r="O21" s="20" t="s">
        <v>161</v>
      </c>
      <c r="P21" s="20" t="s">
        <v>162</v>
      </c>
      <c r="Q21" s="100" t="s">
        <v>267</v>
      </c>
      <c r="R21" s="100" t="s">
        <v>268</v>
      </c>
      <c r="S21" s="54">
        <v>440.87232217500002</v>
      </c>
      <c r="T21" s="28">
        <v>1.0276617195000002</v>
      </c>
      <c r="U21" s="28">
        <v>0.60408732149999977</v>
      </c>
      <c r="V21" s="49">
        <v>15000</v>
      </c>
      <c r="W21" s="49">
        <v>30000</v>
      </c>
      <c r="X21" s="48">
        <f t="shared" si="0"/>
        <v>22500</v>
      </c>
      <c r="Y21" s="48">
        <f t="shared" si="1"/>
        <v>21894.364237822519</v>
      </c>
      <c r="Z21" s="48">
        <f t="shared" si="2"/>
        <v>21894.364237822519</v>
      </c>
    </row>
    <row r="22" spans="1:27" s="3" customFormat="1" ht="30" x14ac:dyDescent="0.3">
      <c r="A22" s="8" t="s">
        <v>174</v>
      </c>
      <c r="B22" s="3">
        <v>11</v>
      </c>
      <c r="C22" s="8"/>
      <c r="D22" s="3">
        <v>43.458817000000003</v>
      </c>
      <c r="E22" s="3">
        <v>-71.229704999999996</v>
      </c>
      <c r="F22" s="3" t="s">
        <v>56</v>
      </c>
      <c r="G22" s="4">
        <v>43370</v>
      </c>
      <c r="H22" s="4" t="s">
        <v>244</v>
      </c>
      <c r="I22" s="4" t="s">
        <v>253</v>
      </c>
      <c r="J22" s="4" t="s">
        <v>242</v>
      </c>
      <c r="K22" s="4" t="s">
        <v>260</v>
      </c>
      <c r="L22" s="2" t="s">
        <v>63</v>
      </c>
      <c r="M22" s="31">
        <v>1</v>
      </c>
      <c r="N22" s="4" t="s">
        <v>218</v>
      </c>
      <c r="O22" s="40" t="s">
        <v>125</v>
      </c>
      <c r="P22" s="40" t="s">
        <v>126</v>
      </c>
      <c r="Q22" s="98" t="s">
        <v>265</v>
      </c>
      <c r="R22" s="100" t="s">
        <v>268</v>
      </c>
      <c r="S22" s="57">
        <v>438.31289624400006</v>
      </c>
      <c r="T22" s="30">
        <v>1.021434297975</v>
      </c>
      <c r="U22" s="30">
        <v>0.56844055620000056</v>
      </c>
      <c r="V22" s="49">
        <v>15000</v>
      </c>
      <c r="W22" s="49">
        <v>30000</v>
      </c>
      <c r="X22" s="48">
        <f t="shared" si="0"/>
        <v>22500</v>
      </c>
      <c r="Y22" s="48">
        <f t="shared" si="1"/>
        <v>22027.848530841773</v>
      </c>
      <c r="Z22" s="48">
        <f t="shared" si="2"/>
        <v>22027.848530841773</v>
      </c>
    </row>
    <row r="23" spans="1:27" s="3" customFormat="1" ht="45" x14ac:dyDescent="0.3">
      <c r="A23" s="8" t="s">
        <v>45</v>
      </c>
      <c r="B23" s="3">
        <v>12</v>
      </c>
      <c r="C23" s="8"/>
      <c r="D23" s="3">
        <v>43.419862999999999</v>
      </c>
      <c r="E23" s="3">
        <v>-71.176531999999995</v>
      </c>
      <c r="F23" s="3" t="s">
        <v>56</v>
      </c>
      <c r="G23" s="4">
        <v>43370</v>
      </c>
      <c r="H23" s="4" t="s">
        <v>246</v>
      </c>
      <c r="I23" s="4" t="s">
        <v>253</v>
      </c>
      <c r="J23" s="4" t="s">
        <v>242</v>
      </c>
      <c r="K23" s="4" t="s">
        <v>236</v>
      </c>
      <c r="L23" s="3" t="s">
        <v>63</v>
      </c>
      <c r="M23" s="38">
        <v>1</v>
      </c>
      <c r="N23" s="3" t="s">
        <v>183</v>
      </c>
      <c r="O23" s="40" t="s">
        <v>156</v>
      </c>
      <c r="P23" s="40" t="s">
        <v>130</v>
      </c>
      <c r="Q23" s="98" t="s">
        <v>270</v>
      </c>
      <c r="R23" s="98" t="s">
        <v>269</v>
      </c>
      <c r="S23" s="55">
        <v>2250</v>
      </c>
      <c r="T23" s="41">
        <v>0.95625000000000016</v>
      </c>
      <c r="U23" s="41">
        <v>1.9125000000000003</v>
      </c>
      <c r="V23" s="49">
        <v>15000</v>
      </c>
      <c r="W23" s="49">
        <v>30000</v>
      </c>
      <c r="X23" s="48">
        <f t="shared" si="0"/>
        <v>22500</v>
      </c>
      <c r="Y23" s="48">
        <f t="shared" si="1"/>
        <v>23529.411764705877</v>
      </c>
      <c r="Z23" s="48">
        <f t="shared" si="2"/>
        <v>23529.411764705877</v>
      </c>
    </row>
    <row r="24" spans="1:27" s="3" customFormat="1" ht="30" x14ac:dyDescent="0.3">
      <c r="A24" s="8">
        <v>11</v>
      </c>
      <c r="B24" s="3">
        <v>13</v>
      </c>
      <c r="C24" s="8"/>
      <c r="D24" s="3">
        <v>43.49333</v>
      </c>
      <c r="E24" s="3">
        <v>-71.156940000000006</v>
      </c>
      <c r="F24" s="3" t="s">
        <v>4</v>
      </c>
      <c r="G24" s="4">
        <v>43280</v>
      </c>
      <c r="H24" s="4" t="s">
        <v>243</v>
      </c>
      <c r="I24" s="4" t="s">
        <v>253</v>
      </c>
      <c r="J24" s="4" t="s">
        <v>241</v>
      </c>
      <c r="K24" s="4" t="s">
        <v>236</v>
      </c>
      <c r="L24" s="4" t="s">
        <v>64</v>
      </c>
      <c r="M24" s="38">
        <v>2</v>
      </c>
      <c r="N24" s="4" t="s">
        <v>183</v>
      </c>
      <c r="O24" s="95" t="s">
        <v>79</v>
      </c>
      <c r="P24" s="40" t="s">
        <v>271</v>
      </c>
      <c r="Q24" s="98" t="s">
        <v>272</v>
      </c>
      <c r="R24" s="98" t="s">
        <v>273</v>
      </c>
      <c r="S24" s="55">
        <v>1980</v>
      </c>
      <c r="T24" s="41">
        <v>0.84150000000000003</v>
      </c>
      <c r="U24" s="41">
        <v>1.6830000000000001</v>
      </c>
      <c r="V24" s="48">
        <v>5000</v>
      </c>
      <c r="W24" s="48">
        <v>15000</v>
      </c>
      <c r="X24" s="48">
        <f t="shared" si="0"/>
        <v>10000</v>
      </c>
      <c r="Y24" s="48">
        <f t="shared" si="1"/>
        <v>11883.541295306</v>
      </c>
      <c r="Z24" s="48">
        <f t="shared" si="2"/>
        <v>23767.082590612001</v>
      </c>
    </row>
    <row r="25" spans="1:27" s="3" customFormat="1" ht="45" x14ac:dyDescent="0.3">
      <c r="A25" s="8" t="s">
        <v>53</v>
      </c>
      <c r="B25" s="3">
        <v>14</v>
      </c>
      <c r="C25" s="8"/>
      <c r="D25" s="3">
        <v>43.437877999999998</v>
      </c>
      <c r="E25" s="3">
        <v>-71.172252999999998</v>
      </c>
      <c r="F25" s="3" t="s">
        <v>56</v>
      </c>
      <c r="G25" s="4">
        <v>43370</v>
      </c>
      <c r="H25" s="4" t="s">
        <v>244</v>
      </c>
      <c r="I25" s="4" t="s">
        <v>253</v>
      </c>
      <c r="J25" s="2" t="s">
        <v>241</v>
      </c>
      <c r="K25" s="4" t="s">
        <v>258</v>
      </c>
      <c r="L25" s="2" t="s">
        <v>63</v>
      </c>
      <c r="M25" s="31">
        <v>1</v>
      </c>
      <c r="N25" s="4" t="s">
        <v>218</v>
      </c>
      <c r="O25" s="40" t="s">
        <v>167</v>
      </c>
      <c r="P25" s="40" t="s">
        <v>169</v>
      </c>
      <c r="Q25" s="98" t="s">
        <v>289</v>
      </c>
      <c r="R25" s="98" t="s">
        <v>276</v>
      </c>
      <c r="S25" s="57">
        <v>476.92646712526511</v>
      </c>
      <c r="T25" s="30">
        <v>0.93648470337549772</v>
      </c>
      <c r="U25" s="30">
        <v>4.894424349419622</v>
      </c>
      <c r="V25" s="49">
        <v>15000</v>
      </c>
      <c r="W25" s="49">
        <v>30000</v>
      </c>
      <c r="X25" s="48">
        <f t="shared" si="0"/>
        <v>22500</v>
      </c>
      <c r="Y25" s="48">
        <f t="shared" si="1"/>
        <v>24026.019772560325</v>
      </c>
      <c r="Z25" s="48">
        <f t="shared" si="2"/>
        <v>24026.019772560325</v>
      </c>
    </row>
    <row r="26" spans="1:27" s="3" customFormat="1" ht="90" x14ac:dyDescent="0.3">
      <c r="A26" s="8">
        <v>41</v>
      </c>
      <c r="B26" s="3">
        <v>15</v>
      </c>
      <c r="C26" s="8" t="s">
        <v>20</v>
      </c>
      <c r="D26" s="3">
        <v>43.462172000000002</v>
      </c>
      <c r="E26" s="3">
        <v>-71.228769999999997</v>
      </c>
      <c r="F26" s="3" t="s">
        <v>13</v>
      </c>
      <c r="G26" s="4" t="s">
        <v>21</v>
      </c>
      <c r="H26" s="4" t="s">
        <v>244</v>
      </c>
      <c r="I26" s="4" t="s">
        <v>253</v>
      </c>
      <c r="J26" s="4" t="s">
        <v>242</v>
      </c>
      <c r="K26" s="4" t="s">
        <v>236</v>
      </c>
      <c r="L26" s="3" t="s">
        <v>63</v>
      </c>
      <c r="M26" s="38">
        <v>1</v>
      </c>
      <c r="N26" s="4" t="s">
        <v>218</v>
      </c>
      <c r="O26" s="40" t="s">
        <v>117</v>
      </c>
      <c r="P26" s="40" t="s">
        <v>116</v>
      </c>
      <c r="Q26" s="98" t="s">
        <v>270</v>
      </c>
      <c r="R26" s="98" t="s">
        <v>276</v>
      </c>
      <c r="S26" s="57">
        <v>802.03398647400002</v>
      </c>
      <c r="T26" s="30">
        <v>1.6575492631500004</v>
      </c>
      <c r="U26" s="30">
        <v>6.2824743792</v>
      </c>
      <c r="V26" s="48">
        <v>30000</v>
      </c>
      <c r="W26" s="48">
        <v>50000</v>
      </c>
      <c r="X26" s="48">
        <f t="shared" si="0"/>
        <v>40000</v>
      </c>
      <c r="Y26" s="48">
        <f t="shared" si="1"/>
        <v>24132.012778904773</v>
      </c>
      <c r="Z26" s="48">
        <f t="shared" si="2"/>
        <v>24132.012778904773</v>
      </c>
    </row>
    <row r="27" spans="1:27" s="3" customFormat="1" ht="45" x14ac:dyDescent="0.3">
      <c r="A27" s="8">
        <v>34</v>
      </c>
      <c r="B27" s="3">
        <v>16</v>
      </c>
      <c r="C27" s="8"/>
      <c r="D27" s="3">
        <v>43.433785</v>
      </c>
      <c r="E27" s="3">
        <v>-71.170422000000002</v>
      </c>
      <c r="F27" s="3" t="s">
        <v>4</v>
      </c>
      <c r="G27" s="4">
        <v>43330</v>
      </c>
      <c r="H27" s="4" t="s">
        <v>244</v>
      </c>
      <c r="I27" s="4" t="s">
        <v>253</v>
      </c>
      <c r="J27" s="4" t="s">
        <v>241</v>
      </c>
      <c r="K27" s="4" t="s">
        <v>258</v>
      </c>
      <c r="L27" s="2" t="s">
        <v>63</v>
      </c>
      <c r="M27" s="31">
        <v>1</v>
      </c>
      <c r="N27" s="4" t="s">
        <v>218</v>
      </c>
      <c r="O27" s="40" t="s">
        <v>332</v>
      </c>
      <c r="P27" s="40" t="s">
        <v>92</v>
      </c>
      <c r="Q27" s="98" t="s">
        <v>270</v>
      </c>
      <c r="R27" s="100" t="s">
        <v>268</v>
      </c>
      <c r="S27" s="57">
        <v>647.55290614821467</v>
      </c>
      <c r="T27" s="30">
        <v>0.8995525611165629</v>
      </c>
      <c r="U27" s="30">
        <v>7.4962713426380247</v>
      </c>
      <c r="V27" s="49">
        <v>15000</v>
      </c>
      <c r="W27" s="49">
        <v>30000</v>
      </c>
      <c r="X27" s="48">
        <f t="shared" si="0"/>
        <v>22500</v>
      </c>
      <c r="Y27" s="48">
        <f t="shared" si="1"/>
        <v>25012.435040007047</v>
      </c>
      <c r="Z27" s="48">
        <f t="shared" si="2"/>
        <v>25012.435040007047</v>
      </c>
    </row>
    <row r="28" spans="1:27" s="3" customFormat="1" ht="45" x14ac:dyDescent="0.3">
      <c r="A28" s="8" t="s">
        <v>34</v>
      </c>
      <c r="B28" s="3">
        <v>17</v>
      </c>
      <c r="C28" s="8"/>
      <c r="D28" s="3">
        <v>43.455013000000001</v>
      </c>
      <c r="E28" s="3">
        <v>-71.226123999999999</v>
      </c>
      <c r="F28" s="3" t="s">
        <v>56</v>
      </c>
      <c r="G28" s="4">
        <v>43370</v>
      </c>
      <c r="H28" s="4" t="s">
        <v>249</v>
      </c>
      <c r="I28" s="4" t="s">
        <v>253</v>
      </c>
      <c r="J28" s="4" t="s">
        <v>242</v>
      </c>
      <c r="K28" s="4" t="s">
        <v>256</v>
      </c>
      <c r="L28" s="2" t="s">
        <v>63</v>
      </c>
      <c r="M28" s="31">
        <v>1</v>
      </c>
      <c r="N28" s="4" t="s">
        <v>218</v>
      </c>
      <c r="O28" s="40" t="s">
        <v>141</v>
      </c>
      <c r="P28" s="40" t="s">
        <v>142</v>
      </c>
      <c r="Q28" s="98" t="s">
        <v>265</v>
      </c>
      <c r="R28" s="98" t="s">
        <v>282</v>
      </c>
      <c r="S28" s="57">
        <v>282.53954535570006</v>
      </c>
      <c r="T28" s="30">
        <v>0.66988358572500017</v>
      </c>
      <c r="U28" s="30">
        <v>3.9974010803999995</v>
      </c>
      <c r="V28" s="49">
        <v>15000</v>
      </c>
      <c r="W28" s="49">
        <v>20000</v>
      </c>
      <c r="X28" s="48">
        <f t="shared" si="0"/>
        <v>17500</v>
      </c>
      <c r="Y28" s="48">
        <f t="shared" si="1"/>
        <v>26123.942089221575</v>
      </c>
      <c r="Z28" s="48">
        <f t="shared" si="2"/>
        <v>26123.942089221575</v>
      </c>
    </row>
    <row r="29" spans="1:27" s="3" customFormat="1" ht="30" x14ac:dyDescent="0.3">
      <c r="A29" s="8">
        <v>33</v>
      </c>
      <c r="B29" s="3">
        <v>18</v>
      </c>
      <c r="C29" s="8"/>
      <c r="D29" s="3">
        <v>43.476272999999999</v>
      </c>
      <c r="E29" s="3">
        <v>-71.170582999999993</v>
      </c>
      <c r="F29" s="3" t="s">
        <v>4</v>
      </c>
      <c r="G29" s="4">
        <v>43315</v>
      </c>
      <c r="H29" s="4" t="s">
        <v>243</v>
      </c>
      <c r="I29" s="4" t="s">
        <v>253</v>
      </c>
      <c r="J29" s="4" t="s">
        <v>241</v>
      </c>
      <c r="K29" s="4" t="s">
        <v>236</v>
      </c>
      <c r="L29" s="4" t="s">
        <v>64</v>
      </c>
      <c r="M29" s="38">
        <v>2</v>
      </c>
      <c r="N29" s="4" t="s">
        <v>218</v>
      </c>
      <c r="O29" s="40" t="s">
        <v>105</v>
      </c>
      <c r="P29" s="40" t="s">
        <v>106</v>
      </c>
      <c r="Q29" s="98" t="s">
        <v>270</v>
      </c>
      <c r="R29" s="98" t="s">
        <v>275</v>
      </c>
      <c r="S29" s="57">
        <v>534.3366764284699</v>
      </c>
      <c r="T29" s="30">
        <v>0.72379204522242668</v>
      </c>
      <c r="U29" s="30">
        <v>2.5920582102196317</v>
      </c>
      <c r="V29" s="48">
        <v>5000</v>
      </c>
      <c r="W29" s="48">
        <v>15000</v>
      </c>
      <c r="X29" s="48">
        <f t="shared" si="0"/>
        <v>10000</v>
      </c>
      <c r="Y29" s="48">
        <f t="shared" si="1"/>
        <v>13816.123106087642</v>
      </c>
      <c r="Z29" s="48">
        <f t="shared" si="2"/>
        <v>27632.246212175283</v>
      </c>
    </row>
    <row r="30" spans="1:27" s="3" customFormat="1" ht="45" x14ac:dyDescent="0.3">
      <c r="A30" s="8">
        <v>17</v>
      </c>
      <c r="B30" s="3">
        <v>19</v>
      </c>
      <c r="C30" s="8"/>
      <c r="D30" s="3">
        <v>43.49194</v>
      </c>
      <c r="E30" s="3">
        <v>-71.161389999999997</v>
      </c>
      <c r="F30" s="3" t="s">
        <v>4</v>
      </c>
      <c r="G30" s="4">
        <v>43280</v>
      </c>
      <c r="H30" s="4" t="s">
        <v>243</v>
      </c>
      <c r="I30" s="4" t="s">
        <v>253</v>
      </c>
      <c r="J30" s="4" t="s">
        <v>241</v>
      </c>
      <c r="K30" s="4" t="s">
        <v>236</v>
      </c>
      <c r="L30" s="4" t="s">
        <v>64</v>
      </c>
      <c r="M30" s="38">
        <v>2</v>
      </c>
      <c r="N30" s="4" t="s">
        <v>183</v>
      </c>
      <c r="O30" s="95" t="s">
        <v>84</v>
      </c>
      <c r="P30" s="40" t="s">
        <v>72</v>
      </c>
      <c r="Q30" s="98" t="s">
        <v>270</v>
      </c>
      <c r="R30" s="98" t="s">
        <v>269</v>
      </c>
      <c r="S30" s="55">
        <v>1650</v>
      </c>
      <c r="T30" s="41">
        <v>0.70124999999999993</v>
      </c>
      <c r="U30" s="41">
        <v>1.4024999999999999</v>
      </c>
      <c r="V30" s="48">
        <v>5000</v>
      </c>
      <c r="W30" s="48">
        <v>15000</v>
      </c>
      <c r="X30" s="48">
        <f t="shared" si="0"/>
        <v>10000</v>
      </c>
      <c r="Y30" s="48">
        <f t="shared" si="1"/>
        <v>14260.249554367203</v>
      </c>
      <c r="Z30" s="48">
        <f t="shared" si="2"/>
        <v>28520.499108734406</v>
      </c>
    </row>
    <row r="31" spans="1:27" s="3" customFormat="1" ht="45" x14ac:dyDescent="0.3">
      <c r="A31" s="8">
        <v>13</v>
      </c>
      <c r="B31" s="3">
        <v>20</v>
      </c>
      <c r="C31" s="8" t="s">
        <v>12</v>
      </c>
      <c r="D31" s="3">
        <v>43.499872000000003</v>
      </c>
      <c r="E31" s="3">
        <v>-71.151302999999999</v>
      </c>
      <c r="F31" s="3" t="s">
        <v>13</v>
      </c>
      <c r="G31" s="4" t="s">
        <v>14</v>
      </c>
      <c r="H31" s="4" t="s">
        <v>243</v>
      </c>
      <c r="I31" s="4" t="s">
        <v>255</v>
      </c>
      <c r="J31" s="4" t="s">
        <v>241</v>
      </c>
      <c r="K31" s="4" t="s">
        <v>236</v>
      </c>
      <c r="L31" s="4" t="s">
        <v>64</v>
      </c>
      <c r="M31" s="38">
        <v>2</v>
      </c>
      <c r="N31" s="4" t="s">
        <v>183</v>
      </c>
      <c r="O31" s="95" t="s">
        <v>15</v>
      </c>
      <c r="P31" s="40" t="s">
        <v>16</v>
      </c>
      <c r="Q31" s="98" t="s">
        <v>283</v>
      </c>
      <c r="R31" s="98" t="s">
        <v>273</v>
      </c>
      <c r="S31" s="55">
        <v>1562.5</v>
      </c>
      <c r="T31" s="41">
        <v>0.6640625</v>
      </c>
      <c r="U31" s="41">
        <v>1.328125</v>
      </c>
      <c r="V31" s="48">
        <v>5000</v>
      </c>
      <c r="W31" s="48">
        <v>15000</v>
      </c>
      <c r="X31" s="48">
        <f t="shared" si="0"/>
        <v>10000</v>
      </c>
      <c r="Y31" s="48">
        <f t="shared" si="1"/>
        <v>15058.823529411764</v>
      </c>
      <c r="Z31" s="48">
        <f t="shared" si="2"/>
        <v>30117.647058823528</v>
      </c>
    </row>
    <row r="32" spans="1:27" s="3" customFormat="1" ht="30" x14ac:dyDescent="0.3">
      <c r="A32" s="8">
        <v>10</v>
      </c>
      <c r="B32" s="3">
        <v>21</v>
      </c>
      <c r="C32" s="8"/>
      <c r="D32" s="3">
        <v>43.491669999999999</v>
      </c>
      <c r="E32" s="3">
        <v>-71.161940000000001</v>
      </c>
      <c r="F32" s="3" t="s">
        <v>4</v>
      </c>
      <c r="G32" s="4">
        <v>43280</v>
      </c>
      <c r="H32" s="4" t="s">
        <v>243</v>
      </c>
      <c r="I32" s="4" t="s">
        <v>254</v>
      </c>
      <c r="J32" s="4" t="s">
        <v>241</v>
      </c>
      <c r="K32" s="4" t="s">
        <v>236</v>
      </c>
      <c r="L32" s="4" t="s">
        <v>64</v>
      </c>
      <c r="M32" s="38">
        <v>2</v>
      </c>
      <c r="N32" s="4" t="s">
        <v>183</v>
      </c>
      <c r="O32" s="95" t="s">
        <v>77</v>
      </c>
      <c r="P32" s="40" t="s">
        <v>78</v>
      </c>
      <c r="Q32" s="98" t="s">
        <v>283</v>
      </c>
      <c r="R32" s="98" t="s">
        <v>287</v>
      </c>
      <c r="S32" s="55">
        <v>1512.5</v>
      </c>
      <c r="T32" s="41">
        <v>0.64281250000000001</v>
      </c>
      <c r="U32" s="41">
        <v>1.285625</v>
      </c>
      <c r="V32" s="48">
        <v>5000</v>
      </c>
      <c r="W32" s="48">
        <v>15000</v>
      </c>
      <c r="X32" s="48">
        <f t="shared" si="0"/>
        <v>10000</v>
      </c>
      <c r="Y32" s="48">
        <f t="shared" si="1"/>
        <v>15556.635877491492</v>
      </c>
      <c r="Z32" s="48">
        <f t="shared" si="2"/>
        <v>31113.271754982983</v>
      </c>
    </row>
    <row r="33" spans="1:26" s="3" customFormat="1" ht="45" x14ac:dyDescent="0.3">
      <c r="A33" s="8" t="s">
        <v>44</v>
      </c>
      <c r="B33" s="3">
        <v>22</v>
      </c>
      <c r="C33" s="8"/>
      <c r="D33" s="3">
        <v>43.419344000000002</v>
      </c>
      <c r="E33" s="3">
        <v>-71.177026999999995</v>
      </c>
      <c r="F33" s="3" t="s">
        <v>56</v>
      </c>
      <c r="G33" s="4">
        <v>43370</v>
      </c>
      <c r="H33" s="4" t="s">
        <v>246</v>
      </c>
      <c r="I33" s="4" t="s">
        <v>253</v>
      </c>
      <c r="J33" s="4" t="s">
        <v>242</v>
      </c>
      <c r="K33" s="4" t="s">
        <v>236</v>
      </c>
      <c r="L33" s="3" t="s">
        <v>63</v>
      </c>
      <c r="M33" s="38">
        <v>1</v>
      </c>
      <c r="N33" s="3" t="s">
        <v>183</v>
      </c>
      <c r="O33" s="40" t="s">
        <v>154</v>
      </c>
      <c r="P33" s="40" t="s">
        <v>155</v>
      </c>
      <c r="Q33" s="98" t="s">
        <v>270</v>
      </c>
      <c r="R33" s="98" t="s">
        <v>276</v>
      </c>
      <c r="S33" s="55">
        <v>1650</v>
      </c>
      <c r="T33" s="41">
        <v>0.70124999999999993</v>
      </c>
      <c r="U33" s="41">
        <v>1.4024999999999999</v>
      </c>
      <c r="V33" s="49">
        <v>15000</v>
      </c>
      <c r="W33" s="49">
        <v>30000</v>
      </c>
      <c r="X33" s="48">
        <f t="shared" si="0"/>
        <v>22500</v>
      </c>
      <c r="Y33" s="48">
        <f t="shared" si="1"/>
        <v>32085.561497326205</v>
      </c>
      <c r="Z33" s="48">
        <f t="shared" si="2"/>
        <v>32085.561497326205</v>
      </c>
    </row>
    <row r="34" spans="1:26" s="3" customFormat="1" ht="45" x14ac:dyDescent="0.3">
      <c r="A34" s="8">
        <v>1</v>
      </c>
      <c r="B34" s="3">
        <v>23</v>
      </c>
      <c r="C34" s="8"/>
      <c r="D34" s="3">
        <v>43.476416</v>
      </c>
      <c r="E34" s="3">
        <v>-71.168580000000006</v>
      </c>
      <c r="F34" s="3" t="s">
        <v>4</v>
      </c>
      <c r="G34" s="4">
        <v>43250</v>
      </c>
      <c r="H34" s="4" t="s">
        <v>243</v>
      </c>
      <c r="I34" s="4" t="s">
        <v>253</v>
      </c>
      <c r="J34" s="4" t="s">
        <v>241</v>
      </c>
      <c r="K34" s="4" t="s">
        <v>236</v>
      </c>
      <c r="L34" s="4" t="s">
        <v>64</v>
      </c>
      <c r="M34" s="38">
        <v>2</v>
      </c>
      <c r="N34" s="4" t="s">
        <v>183</v>
      </c>
      <c r="O34" s="95" t="s">
        <v>57</v>
      </c>
      <c r="P34" s="40" t="s">
        <v>58</v>
      </c>
      <c r="Q34" s="98" t="s">
        <v>283</v>
      </c>
      <c r="R34" s="98" t="s">
        <v>287</v>
      </c>
      <c r="S34" s="55">
        <v>562.5</v>
      </c>
      <c r="T34" s="41">
        <v>0.23906250000000004</v>
      </c>
      <c r="U34" s="41">
        <v>0.47812500000000008</v>
      </c>
      <c r="V34" s="48">
        <v>3000</v>
      </c>
      <c r="W34" s="48">
        <v>5000</v>
      </c>
      <c r="X34" s="48">
        <f t="shared" si="0"/>
        <v>4000</v>
      </c>
      <c r="Y34" s="48">
        <f t="shared" si="1"/>
        <v>16732.026143790848</v>
      </c>
      <c r="Z34" s="48">
        <f t="shared" si="2"/>
        <v>33464.052287581697</v>
      </c>
    </row>
    <row r="35" spans="1:26" s="3" customFormat="1" ht="45" x14ac:dyDescent="0.3">
      <c r="A35" s="8">
        <v>18</v>
      </c>
      <c r="B35" s="3">
        <v>24</v>
      </c>
      <c r="C35" s="8"/>
      <c r="D35" s="3">
        <v>43.473511000000002</v>
      </c>
      <c r="E35" s="3">
        <v>-71.160218999999998</v>
      </c>
      <c r="F35" s="3" t="s">
        <v>4</v>
      </c>
      <c r="G35" s="4">
        <v>43293</v>
      </c>
      <c r="H35" s="4" t="s">
        <v>243</v>
      </c>
      <c r="I35" s="4" t="s">
        <v>253</v>
      </c>
      <c r="J35" s="4" t="s">
        <v>241</v>
      </c>
      <c r="K35" s="4" t="s">
        <v>236</v>
      </c>
      <c r="L35" s="4" t="s">
        <v>64</v>
      </c>
      <c r="M35" s="38">
        <v>2</v>
      </c>
      <c r="N35" s="4" t="s">
        <v>218</v>
      </c>
      <c r="O35" s="95" t="s">
        <v>7</v>
      </c>
      <c r="P35" s="40" t="s">
        <v>72</v>
      </c>
      <c r="Q35" s="98" t="s">
        <v>270</v>
      </c>
      <c r="R35" s="98" t="s">
        <v>269</v>
      </c>
      <c r="S35" s="57">
        <v>258.82337170800002</v>
      </c>
      <c r="T35" s="30">
        <v>0.57396525615000016</v>
      </c>
      <c r="U35" s="30">
        <v>0.5455989396000005</v>
      </c>
      <c r="V35" s="48">
        <v>5000</v>
      </c>
      <c r="W35" s="48">
        <v>15000</v>
      </c>
      <c r="X35" s="48">
        <f t="shared" si="0"/>
        <v>10000</v>
      </c>
      <c r="Y35" s="48">
        <f t="shared" si="1"/>
        <v>17422.657369676395</v>
      </c>
      <c r="Z35" s="48">
        <f t="shared" si="2"/>
        <v>34845.314739352791</v>
      </c>
    </row>
    <row r="36" spans="1:26" s="3" customFormat="1" ht="45" x14ac:dyDescent="0.3">
      <c r="A36" s="8" t="s">
        <v>176</v>
      </c>
      <c r="B36" s="3">
        <v>25</v>
      </c>
      <c r="C36" s="8"/>
      <c r="D36" s="3">
        <v>43.436737000000001</v>
      </c>
      <c r="E36" s="3">
        <v>-71.248763999999994</v>
      </c>
      <c r="F36" s="3" t="s">
        <v>56</v>
      </c>
      <c r="G36" s="4">
        <v>43370</v>
      </c>
      <c r="H36" s="4" t="s">
        <v>246</v>
      </c>
      <c r="I36" s="4" t="s">
        <v>253</v>
      </c>
      <c r="J36" s="4" t="s">
        <v>242</v>
      </c>
      <c r="K36" s="4" t="s">
        <v>236</v>
      </c>
      <c r="L36" s="3" t="s">
        <v>63</v>
      </c>
      <c r="M36" s="38">
        <v>1</v>
      </c>
      <c r="N36" s="4" t="s">
        <v>218</v>
      </c>
      <c r="O36" s="40" t="s">
        <v>129</v>
      </c>
      <c r="P36" s="40" t="s">
        <v>130</v>
      </c>
      <c r="Q36" s="98" t="s">
        <v>270</v>
      </c>
      <c r="R36" s="98" t="s">
        <v>269</v>
      </c>
      <c r="S36" s="55">
        <v>225.84690618750005</v>
      </c>
      <c r="T36" s="41">
        <v>0.27669925799999995</v>
      </c>
      <c r="U36" s="41">
        <v>0.5868759186000001</v>
      </c>
      <c r="V36" s="48">
        <v>5000</v>
      </c>
      <c r="W36" s="48">
        <v>15000</v>
      </c>
      <c r="X36" s="48">
        <f t="shared" si="0"/>
        <v>10000</v>
      </c>
      <c r="Y36" s="48">
        <f t="shared" si="1"/>
        <v>36140.320983441168</v>
      </c>
      <c r="Z36" s="48">
        <f t="shared" si="2"/>
        <v>36140.320983441168</v>
      </c>
    </row>
    <row r="37" spans="1:26" s="3" customFormat="1" ht="45" x14ac:dyDescent="0.3">
      <c r="A37" s="8">
        <v>36</v>
      </c>
      <c r="B37" s="3">
        <v>26</v>
      </c>
      <c r="C37" s="8"/>
      <c r="D37" s="3">
        <v>43.421280000000003</v>
      </c>
      <c r="E37" s="3">
        <v>-71.175625999999994</v>
      </c>
      <c r="F37" s="3" t="s">
        <v>4</v>
      </c>
      <c r="G37" s="4">
        <v>43331</v>
      </c>
      <c r="H37" s="4" t="s">
        <v>246</v>
      </c>
      <c r="I37" s="4" t="s">
        <v>253</v>
      </c>
      <c r="J37" s="4" t="s">
        <v>242</v>
      </c>
      <c r="K37" s="4" t="s">
        <v>236</v>
      </c>
      <c r="L37" s="3" t="s">
        <v>63</v>
      </c>
      <c r="M37" s="38">
        <v>1</v>
      </c>
      <c r="N37" s="4" t="s">
        <v>218</v>
      </c>
      <c r="O37" s="40" t="s">
        <v>107</v>
      </c>
      <c r="P37" s="40" t="s">
        <v>108</v>
      </c>
      <c r="Q37" s="98" t="s">
        <v>270</v>
      </c>
      <c r="R37" s="98" t="s">
        <v>269</v>
      </c>
      <c r="S37" s="57">
        <v>441.42268189500015</v>
      </c>
      <c r="T37" s="30">
        <v>0.60527962687500003</v>
      </c>
      <c r="U37" s="30">
        <v>2.0623295520000013</v>
      </c>
      <c r="V37" s="49">
        <v>15000</v>
      </c>
      <c r="W37" s="49">
        <v>30000</v>
      </c>
      <c r="X37" s="48">
        <f t="shared" si="0"/>
        <v>22500</v>
      </c>
      <c r="Y37" s="48">
        <f t="shared" si="1"/>
        <v>37172.90158296805</v>
      </c>
      <c r="Z37" s="48">
        <f t="shared" si="2"/>
        <v>37172.90158296805</v>
      </c>
    </row>
    <row r="38" spans="1:26" s="3" customFormat="1" ht="45" x14ac:dyDescent="0.3">
      <c r="A38" s="8" t="s">
        <v>38</v>
      </c>
      <c r="B38" s="3">
        <v>27</v>
      </c>
      <c r="C38" s="8"/>
      <c r="D38" s="3">
        <v>43.451355</v>
      </c>
      <c r="E38" s="3">
        <v>-71.219549999999998</v>
      </c>
      <c r="F38" s="3" t="s">
        <v>56</v>
      </c>
      <c r="G38" s="4">
        <v>43370</v>
      </c>
      <c r="H38" s="4" t="s">
        <v>244</v>
      </c>
      <c r="I38" s="4" t="s">
        <v>253</v>
      </c>
      <c r="J38" s="4" t="s">
        <v>242</v>
      </c>
      <c r="K38" s="4" t="s">
        <v>261</v>
      </c>
      <c r="L38" s="2" t="s">
        <v>63</v>
      </c>
      <c r="M38" s="31">
        <v>1</v>
      </c>
      <c r="N38" s="3" t="s">
        <v>183</v>
      </c>
      <c r="O38" s="40" t="s">
        <v>148</v>
      </c>
      <c r="P38" s="40" t="s">
        <v>135</v>
      </c>
      <c r="Q38" s="98" t="s">
        <v>270</v>
      </c>
      <c r="R38" s="98" t="s">
        <v>269</v>
      </c>
      <c r="S38" s="55">
        <v>600</v>
      </c>
      <c r="T38" s="41">
        <v>0.255</v>
      </c>
      <c r="U38" s="41">
        <v>0.51</v>
      </c>
      <c r="V38" s="48">
        <v>5000</v>
      </c>
      <c r="W38" s="48">
        <v>15000</v>
      </c>
      <c r="X38" s="48">
        <f t="shared" si="0"/>
        <v>10000</v>
      </c>
      <c r="Y38" s="48">
        <f t="shared" si="1"/>
        <v>39215.686274509804</v>
      </c>
      <c r="Z38" s="48">
        <f t="shared" si="2"/>
        <v>39215.686274509804</v>
      </c>
    </row>
    <row r="39" spans="1:26" s="3" customFormat="1" ht="45" x14ac:dyDescent="0.3">
      <c r="A39" s="8">
        <v>15</v>
      </c>
      <c r="B39" s="3">
        <v>28</v>
      </c>
      <c r="C39" s="7"/>
      <c r="D39" s="1">
        <v>43.495280000000001</v>
      </c>
      <c r="E39" s="1">
        <v>-71.161389999999997</v>
      </c>
      <c r="F39" s="1" t="s">
        <v>4</v>
      </c>
      <c r="G39" s="2">
        <v>43280</v>
      </c>
      <c r="H39" s="4" t="s">
        <v>243</v>
      </c>
      <c r="I39" s="4" t="s">
        <v>253</v>
      </c>
      <c r="J39" s="4" t="s">
        <v>241</v>
      </c>
      <c r="K39" s="2" t="s">
        <v>236</v>
      </c>
      <c r="L39" s="4" t="s">
        <v>64</v>
      </c>
      <c r="M39" s="38">
        <v>2</v>
      </c>
      <c r="N39" s="2" t="s">
        <v>218</v>
      </c>
      <c r="O39" s="94" t="s">
        <v>81</v>
      </c>
      <c r="P39" s="20" t="s">
        <v>72</v>
      </c>
      <c r="Q39" s="100" t="s">
        <v>270</v>
      </c>
      <c r="R39" s="98" t="s">
        <v>269</v>
      </c>
      <c r="S39" s="54">
        <v>252.28091193832805</v>
      </c>
      <c r="T39" s="28">
        <v>0.49808028219539402</v>
      </c>
      <c r="U39" s="28">
        <v>0.78003078357661693</v>
      </c>
      <c r="V39" s="48">
        <v>5000</v>
      </c>
      <c r="W39" s="48">
        <v>15000</v>
      </c>
      <c r="X39" s="48">
        <f t="shared" si="0"/>
        <v>10000</v>
      </c>
      <c r="Y39" s="48">
        <f t="shared" si="1"/>
        <v>20077.084673825851</v>
      </c>
      <c r="Z39" s="48">
        <f t="shared" si="2"/>
        <v>40154.169347651703</v>
      </c>
    </row>
    <row r="40" spans="1:26" s="3" customFormat="1" ht="45" x14ac:dyDescent="0.3">
      <c r="A40" s="8" t="s">
        <v>180</v>
      </c>
      <c r="B40" s="3">
        <v>29</v>
      </c>
      <c r="C40" s="8"/>
      <c r="D40" s="3">
        <v>43.425215999999999</v>
      </c>
      <c r="E40" s="3">
        <v>-71.261674999999997</v>
      </c>
      <c r="F40" s="3" t="s">
        <v>56</v>
      </c>
      <c r="G40" s="4">
        <v>43370</v>
      </c>
      <c r="H40" s="4" t="s">
        <v>246</v>
      </c>
      <c r="I40" s="4" t="s">
        <v>253</v>
      </c>
      <c r="J40" s="4" t="s">
        <v>242</v>
      </c>
      <c r="K40" s="4" t="s">
        <v>260</v>
      </c>
      <c r="L40" s="3" t="s">
        <v>63</v>
      </c>
      <c r="M40" s="38">
        <v>1</v>
      </c>
      <c r="N40" s="3" t="s">
        <v>183</v>
      </c>
      <c r="O40" s="40" t="s">
        <v>302</v>
      </c>
      <c r="P40" s="40" t="s">
        <v>135</v>
      </c>
      <c r="Q40" s="98" t="s">
        <v>267</v>
      </c>
      <c r="R40" s="98" t="s">
        <v>269</v>
      </c>
      <c r="S40" s="55">
        <v>234.375</v>
      </c>
      <c r="T40" s="41">
        <v>9.9609375E-2</v>
      </c>
      <c r="U40" s="41">
        <v>0.19921875</v>
      </c>
      <c r="V40" s="48">
        <v>3000</v>
      </c>
      <c r="W40" s="48">
        <v>5000</v>
      </c>
      <c r="X40" s="48">
        <f t="shared" si="0"/>
        <v>4000</v>
      </c>
      <c r="Y40" s="48">
        <f t="shared" si="1"/>
        <v>40156.862745098042</v>
      </c>
      <c r="Z40" s="48">
        <f t="shared" si="2"/>
        <v>40156.862745098042</v>
      </c>
    </row>
    <row r="41" spans="1:26" s="3" customFormat="1" ht="45" x14ac:dyDescent="0.3">
      <c r="A41" s="8" t="s">
        <v>33</v>
      </c>
      <c r="B41" s="3">
        <v>30</v>
      </c>
      <c r="C41" s="7"/>
      <c r="D41" s="3">
        <v>43.452061999999998</v>
      </c>
      <c r="E41" s="3">
        <v>-71.231623999999996</v>
      </c>
      <c r="F41" s="1" t="s">
        <v>56</v>
      </c>
      <c r="G41" s="2">
        <v>43370</v>
      </c>
      <c r="H41" s="2" t="s">
        <v>248</v>
      </c>
      <c r="I41" s="2" t="s">
        <v>254</v>
      </c>
      <c r="J41" s="4" t="s">
        <v>242</v>
      </c>
      <c r="K41" s="2" t="s">
        <v>258</v>
      </c>
      <c r="L41" s="2" t="s">
        <v>63</v>
      </c>
      <c r="M41" s="31">
        <v>1</v>
      </c>
      <c r="N41" s="1" t="s">
        <v>183</v>
      </c>
      <c r="O41" s="20" t="s">
        <v>140</v>
      </c>
      <c r="P41" s="20" t="s">
        <v>130</v>
      </c>
      <c r="Q41" s="100" t="s">
        <v>270</v>
      </c>
      <c r="R41" s="98" t="s">
        <v>269</v>
      </c>
      <c r="S41" s="53">
        <v>1250</v>
      </c>
      <c r="T41" s="29">
        <v>0.53125</v>
      </c>
      <c r="U41" s="29">
        <v>1.0625</v>
      </c>
      <c r="V41" s="49">
        <v>15000</v>
      </c>
      <c r="W41" s="49">
        <v>30000</v>
      </c>
      <c r="X41" s="48">
        <f t="shared" ref="X41:X72" si="3">AVERAGE(V41:W41)</f>
        <v>22500</v>
      </c>
      <c r="Y41" s="48">
        <f t="shared" ref="Y41:Y72" si="4">X41/T41</f>
        <v>42352.941176470587</v>
      </c>
      <c r="Z41" s="48">
        <f t="shared" ref="Z41:Z72" si="5">(X41*M41)/T41</f>
        <v>42352.941176470587</v>
      </c>
    </row>
    <row r="42" spans="1:26" s="3" customFormat="1" ht="45" x14ac:dyDescent="0.3">
      <c r="A42" s="8" t="s">
        <v>27</v>
      </c>
      <c r="B42" s="3">
        <v>31</v>
      </c>
      <c r="C42" s="8"/>
      <c r="D42" s="3">
        <v>43.457993000000002</v>
      </c>
      <c r="E42" s="3">
        <v>-71.230341999999993</v>
      </c>
      <c r="F42" s="3" t="s">
        <v>26</v>
      </c>
      <c r="G42" s="4">
        <v>43335</v>
      </c>
      <c r="H42" s="4" t="s">
        <v>244</v>
      </c>
      <c r="I42" s="4" t="s">
        <v>253</v>
      </c>
      <c r="J42" s="4" t="s">
        <v>242</v>
      </c>
      <c r="K42" s="4" t="s">
        <v>259</v>
      </c>
      <c r="L42" s="2" t="s">
        <v>63</v>
      </c>
      <c r="M42" s="31">
        <v>1</v>
      </c>
      <c r="N42" s="4" t="s">
        <v>218</v>
      </c>
      <c r="O42" s="40" t="s">
        <v>121</v>
      </c>
      <c r="P42" s="40" t="s">
        <v>122</v>
      </c>
      <c r="Q42" s="98" t="s">
        <v>280</v>
      </c>
      <c r="R42" s="98" t="s">
        <v>276</v>
      </c>
      <c r="S42" s="57">
        <v>76.512728570580009</v>
      </c>
      <c r="T42" s="30">
        <v>0.17022385568250004</v>
      </c>
      <c r="U42" s="30">
        <v>0.9593816616000006</v>
      </c>
      <c r="V42" s="48">
        <v>5000</v>
      </c>
      <c r="W42" s="48">
        <v>10000</v>
      </c>
      <c r="X42" s="48">
        <f t="shared" si="3"/>
        <v>7500</v>
      </c>
      <c r="Y42" s="48">
        <f t="shared" si="4"/>
        <v>44059.629421089667</v>
      </c>
      <c r="Z42" s="48">
        <f t="shared" si="5"/>
        <v>44059.629421089667</v>
      </c>
    </row>
    <row r="43" spans="1:26" s="3" customFormat="1" ht="45" x14ac:dyDescent="0.3">
      <c r="A43" s="8" t="s">
        <v>175</v>
      </c>
      <c r="B43" s="3">
        <v>32</v>
      </c>
      <c r="C43" s="8"/>
      <c r="D43" s="3">
        <v>43.457065</v>
      </c>
      <c r="E43" s="3">
        <v>-71.230585000000005</v>
      </c>
      <c r="F43" s="3" t="s">
        <v>56</v>
      </c>
      <c r="G43" s="4">
        <v>43370</v>
      </c>
      <c r="H43" s="4" t="s">
        <v>244</v>
      </c>
      <c r="I43" s="4" t="s">
        <v>253</v>
      </c>
      <c r="J43" s="4" t="s">
        <v>242</v>
      </c>
      <c r="K43" s="4" t="s">
        <v>261</v>
      </c>
      <c r="L43" s="2" t="s">
        <v>63</v>
      </c>
      <c r="M43" s="31">
        <v>1</v>
      </c>
      <c r="N43" s="4" t="s">
        <v>218</v>
      </c>
      <c r="O43" s="40" t="s">
        <v>127</v>
      </c>
      <c r="P43" s="40" t="s">
        <v>128</v>
      </c>
      <c r="Q43" s="98" t="s">
        <v>290</v>
      </c>
      <c r="R43" s="98" t="s">
        <v>291</v>
      </c>
      <c r="S43" s="57">
        <v>208.66440964404885</v>
      </c>
      <c r="T43" s="30">
        <v>0.50695504115827839</v>
      </c>
      <c r="U43" s="30">
        <v>0.25909955327530731</v>
      </c>
      <c r="V43" s="49">
        <v>15000</v>
      </c>
      <c r="W43" s="49">
        <v>30000</v>
      </c>
      <c r="X43" s="48">
        <f t="shared" si="3"/>
        <v>22500</v>
      </c>
      <c r="Y43" s="48">
        <f t="shared" si="4"/>
        <v>44382.633908901575</v>
      </c>
      <c r="Z43" s="48">
        <f t="shared" si="5"/>
        <v>44382.633908901575</v>
      </c>
    </row>
    <row r="44" spans="1:26" s="3" customFormat="1" ht="45" x14ac:dyDescent="0.3">
      <c r="A44" s="8">
        <v>37</v>
      </c>
      <c r="B44" s="3">
        <v>33</v>
      </c>
      <c r="C44" s="7"/>
      <c r="D44" s="3">
        <v>43.414096000000001</v>
      </c>
      <c r="E44" s="3">
        <v>-71.211888000000002</v>
      </c>
      <c r="F44" s="1" t="s">
        <v>4</v>
      </c>
      <c r="G44" s="2">
        <v>43331</v>
      </c>
      <c r="H44" s="4" t="s">
        <v>246</v>
      </c>
      <c r="I44" s="4" t="s">
        <v>253</v>
      </c>
      <c r="J44" s="4" t="s">
        <v>242</v>
      </c>
      <c r="K44" s="4" t="s">
        <v>236</v>
      </c>
      <c r="L44" s="3" t="s">
        <v>63</v>
      </c>
      <c r="M44" s="38">
        <v>1</v>
      </c>
      <c r="N44" s="2" t="s">
        <v>183</v>
      </c>
      <c r="O44" s="20" t="s">
        <v>109</v>
      </c>
      <c r="P44" s="20" t="s">
        <v>110</v>
      </c>
      <c r="Q44" s="100" t="s">
        <v>292</v>
      </c>
      <c r="R44" s="100" t="s">
        <v>293</v>
      </c>
      <c r="S44" s="53">
        <v>2100</v>
      </c>
      <c r="T44" s="29">
        <v>0.89249999999999996</v>
      </c>
      <c r="U44" s="29">
        <v>1.7849999999999999</v>
      </c>
      <c r="V44" s="48">
        <v>30000</v>
      </c>
      <c r="W44" s="48">
        <v>50000</v>
      </c>
      <c r="X44" s="48">
        <f t="shared" si="3"/>
        <v>40000</v>
      </c>
      <c r="Y44" s="48">
        <f t="shared" si="4"/>
        <v>44817.927170868352</v>
      </c>
      <c r="Z44" s="48">
        <f t="shared" si="5"/>
        <v>44817.927170868352</v>
      </c>
    </row>
    <row r="45" spans="1:26" s="3" customFormat="1" ht="45" x14ac:dyDescent="0.3">
      <c r="A45" s="8">
        <v>20</v>
      </c>
      <c r="B45" s="3">
        <v>34</v>
      </c>
      <c r="C45" s="8"/>
      <c r="D45" s="3">
        <v>43.472817999999997</v>
      </c>
      <c r="E45" s="3">
        <v>-71.158805999999998</v>
      </c>
      <c r="F45" s="3" t="s">
        <v>4</v>
      </c>
      <c r="G45" s="4">
        <v>43293</v>
      </c>
      <c r="H45" s="4" t="s">
        <v>243</v>
      </c>
      <c r="I45" s="4" t="s">
        <v>253</v>
      </c>
      <c r="J45" s="4" t="s">
        <v>241</v>
      </c>
      <c r="K45" s="4" t="s">
        <v>236</v>
      </c>
      <c r="L45" s="4" t="s">
        <v>64</v>
      </c>
      <c r="M45" s="38">
        <v>2</v>
      </c>
      <c r="N45" s="1" t="s">
        <v>183</v>
      </c>
      <c r="O45" s="95" t="s">
        <v>86</v>
      </c>
      <c r="P45" s="20" t="s">
        <v>87</v>
      </c>
      <c r="Q45" s="98" t="s">
        <v>270</v>
      </c>
      <c r="R45" s="98" t="s">
        <v>276</v>
      </c>
      <c r="S45" s="53">
        <v>2250</v>
      </c>
      <c r="T45" s="29">
        <v>0.95625000000000016</v>
      </c>
      <c r="U45" s="29">
        <v>1.9125000000000003</v>
      </c>
      <c r="V45" s="49">
        <v>15000</v>
      </c>
      <c r="W45" s="49">
        <v>30000</v>
      </c>
      <c r="X45" s="48">
        <f t="shared" si="3"/>
        <v>22500</v>
      </c>
      <c r="Y45" s="48">
        <f t="shared" si="4"/>
        <v>23529.411764705877</v>
      </c>
      <c r="Z45" s="48">
        <f t="shared" si="5"/>
        <v>47058.823529411755</v>
      </c>
    </row>
    <row r="46" spans="1:26" s="3" customFormat="1" ht="45" x14ac:dyDescent="0.3">
      <c r="A46" s="8">
        <v>38</v>
      </c>
      <c r="B46" s="3">
        <v>35</v>
      </c>
      <c r="C46" s="8"/>
      <c r="D46" s="3">
        <v>43.410621999999996</v>
      </c>
      <c r="E46" s="3">
        <v>-71.239231000000004</v>
      </c>
      <c r="F46" s="3" t="s">
        <v>4</v>
      </c>
      <c r="G46" s="4">
        <v>43331</v>
      </c>
      <c r="H46" s="4" t="s">
        <v>246</v>
      </c>
      <c r="I46" s="4" t="s">
        <v>253</v>
      </c>
      <c r="J46" s="4" t="s">
        <v>242</v>
      </c>
      <c r="K46" s="4" t="s">
        <v>236</v>
      </c>
      <c r="L46" s="3" t="s">
        <v>63</v>
      </c>
      <c r="M46" s="38">
        <v>1</v>
      </c>
      <c r="N46" s="4" t="s">
        <v>218</v>
      </c>
      <c r="O46" s="40" t="s">
        <v>111</v>
      </c>
      <c r="P46" s="40" t="s">
        <v>92</v>
      </c>
      <c r="Q46" s="98" t="s">
        <v>270</v>
      </c>
      <c r="R46" s="98" t="s">
        <v>269</v>
      </c>
      <c r="S46" s="57">
        <v>368.29464703200006</v>
      </c>
      <c r="T46" s="30">
        <v>0.44847564300000009</v>
      </c>
      <c r="U46" s="30">
        <v>1.0118515391999994</v>
      </c>
      <c r="V46" s="49">
        <v>15000</v>
      </c>
      <c r="W46" s="49">
        <v>30000</v>
      </c>
      <c r="X46" s="48">
        <f t="shared" si="3"/>
        <v>22500</v>
      </c>
      <c r="Y46" s="48">
        <f t="shared" si="4"/>
        <v>50169.948694404338</v>
      </c>
      <c r="Z46" s="48">
        <f t="shared" si="5"/>
        <v>50169.948694404338</v>
      </c>
    </row>
    <row r="47" spans="1:26" s="3" customFormat="1" ht="45" x14ac:dyDescent="0.3">
      <c r="A47" s="8">
        <v>23</v>
      </c>
      <c r="B47" s="3">
        <v>36</v>
      </c>
      <c r="C47" s="8"/>
      <c r="D47" s="3">
        <v>43.490175999999998</v>
      </c>
      <c r="E47" s="3">
        <v>-71.142762000000005</v>
      </c>
      <c r="F47" s="3" t="s">
        <v>4</v>
      </c>
      <c r="G47" s="4">
        <v>43293</v>
      </c>
      <c r="H47" s="4" t="s">
        <v>243</v>
      </c>
      <c r="I47" s="4" t="s">
        <v>253</v>
      </c>
      <c r="J47" s="4" t="s">
        <v>241</v>
      </c>
      <c r="K47" s="4" t="s">
        <v>236</v>
      </c>
      <c r="L47" s="4" t="s">
        <v>64</v>
      </c>
      <c r="M47" s="38">
        <v>2</v>
      </c>
      <c r="N47" s="4" t="s">
        <v>183</v>
      </c>
      <c r="O47" s="95" t="s">
        <v>89</v>
      </c>
      <c r="P47" s="40" t="s">
        <v>90</v>
      </c>
      <c r="Q47" s="98" t="s">
        <v>270</v>
      </c>
      <c r="R47" s="98" t="s">
        <v>269</v>
      </c>
      <c r="S47" s="55">
        <v>937.5</v>
      </c>
      <c r="T47" s="41">
        <v>0.3984375</v>
      </c>
      <c r="U47" s="41">
        <v>0.796875</v>
      </c>
      <c r="V47" s="48">
        <v>5000</v>
      </c>
      <c r="W47" s="48">
        <v>15000</v>
      </c>
      <c r="X47" s="48">
        <f t="shared" si="3"/>
        <v>10000</v>
      </c>
      <c r="Y47" s="48">
        <f t="shared" si="4"/>
        <v>25098.039215686276</v>
      </c>
      <c r="Z47" s="48">
        <f t="shared" si="5"/>
        <v>50196.078431372553</v>
      </c>
    </row>
    <row r="48" spans="1:26" s="3" customFormat="1" ht="45" x14ac:dyDescent="0.3">
      <c r="A48" s="8">
        <v>16</v>
      </c>
      <c r="B48" s="3">
        <v>37</v>
      </c>
      <c r="C48" s="8"/>
      <c r="D48" s="3">
        <v>43.485706</v>
      </c>
      <c r="E48" s="3">
        <v>-71.180946000000006</v>
      </c>
      <c r="F48" s="3" t="s">
        <v>4</v>
      </c>
      <c r="G48" s="4">
        <v>43280</v>
      </c>
      <c r="H48" s="4" t="s">
        <v>243</v>
      </c>
      <c r="I48" s="4" t="s">
        <v>253</v>
      </c>
      <c r="J48" s="4" t="s">
        <v>241</v>
      </c>
      <c r="K48" s="4" t="s">
        <v>236</v>
      </c>
      <c r="L48" s="4" t="s">
        <v>64</v>
      </c>
      <c r="M48" s="38">
        <v>2</v>
      </c>
      <c r="N48" s="4" t="s">
        <v>218</v>
      </c>
      <c r="O48" s="95" t="s">
        <v>83</v>
      </c>
      <c r="P48" s="40" t="s">
        <v>72</v>
      </c>
      <c r="Q48" s="98" t="s">
        <v>270</v>
      </c>
      <c r="R48" s="98" t="s">
        <v>269</v>
      </c>
      <c r="S48" s="55">
        <v>341.64589174560007</v>
      </c>
      <c r="T48" s="41">
        <v>0.39777839640000012</v>
      </c>
      <c r="U48" s="41">
        <v>1.3029817017599994</v>
      </c>
      <c r="V48" s="48">
        <v>5000</v>
      </c>
      <c r="W48" s="48">
        <v>15000</v>
      </c>
      <c r="X48" s="48">
        <f t="shared" si="3"/>
        <v>10000</v>
      </c>
      <c r="Y48" s="48">
        <f t="shared" si="4"/>
        <v>25139.62570743572</v>
      </c>
      <c r="Z48" s="48">
        <f t="shared" si="5"/>
        <v>50279.25141487144</v>
      </c>
    </row>
    <row r="49" spans="1:26" s="3" customFormat="1" ht="45" x14ac:dyDescent="0.3">
      <c r="A49" s="8" t="s">
        <v>55</v>
      </c>
      <c r="B49" s="3">
        <v>38</v>
      </c>
      <c r="C49" s="7"/>
      <c r="D49" s="3">
        <v>43.436309000000001</v>
      </c>
      <c r="E49" s="3">
        <v>-71.162734</v>
      </c>
      <c r="F49" s="1" t="s">
        <v>56</v>
      </c>
      <c r="G49" s="2">
        <v>43370</v>
      </c>
      <c r="H49" s="2" t="s">
        <v>250</v>
      </c>
      <c r="I49" s="4" t="s">
        <v>253</v>
      </c>
      <c r="J49" s="2" t="s">
        <v>241</v>
      </c>
      <c r="K49" s="2" t="s">
        <v>236</v>
      </c>
      <c r="L49" s="1" t="s">
        <v>82</v>
      </c>
      <c r="M49" s="31">
        <v>4</v>
      </c>
      <c r="N49" s="2" t="s">
        <v>218</v>
      </c>
      <c r="O49" s="20" t="s">
        <v>171</v>
      </c>
      <c r="P49" s="20" t="s">
        <v>130</v>
      </c>
      <c r="Q49" s="98" t="s">
        <v>270</v>
      </c>
      <c r="R49" s="98" t="s">
        <v>269</v>
      </c>
      <c r="S49" s="54">
        <v>292.05686028240001</v>
      </c>
      <c r="T49" s="28">
        <v>0.66866047033500009</v>
      </c>
      <c r="U49" s="28">
        <v>0.28650106332000025</v>
      </c>
      <c r="V49" s="48">
        <v>5000</v>
      </c>
      <c r="W49" s="48">
        <v>15000</v>
      </c>
      <c r="X49" s="48">
        <f t="shared" si="3"/>
        <v>10000</v>
      </c>
      <c r="Y49" s="48">
        <f t="shared" si="4"/>
        <v>14955.273182202594</v>
      </c>
      <c r="Z49" s="48">
        <f t="shared" si="5"/>
        <v>59821.092728810378</v>
      </c>
    </row>
    <row r="50" spans="1:26" s="3" customFormat="1" ht="30" x14ac:dyDescent="0.3">
      <c r="A50" s="8" t="s">
        <v>24</v>
      </c>
      <c r="B50" s="3">
        <v>39</v>
      </c>
      <c r="C50" s="8"/>
      <c r="D50" s="3">
        <v>43.476272000000002</v>
      </c>
      <c r="E50" s="3">
        <v>-71.178935999999993</v>
      </c>
      <c r="F50" s="3" t="s">
        <v>26</v>
      </c>
      <c r="G50" s="4">
        <v>43335</v>
      </c>
      <c r="H50" s="4" t="s">
        <v>244</v>
      </c>
      <c r="I50" s="4" t="s">
        <v>253</v>
      </c>
      <c r="J50" s="2" t="s">
        <v>241</v>
      </c>
      <c r="K50" s="4" t="s">
        <v>259</v>
      </c>
      <c r="L50" s="2" t="s">
        <v>63</v>
      </c>
      <c r="M50" s="31">
        <v>1</v>
      </c>
      <c r="N50" s="4" t="s">
        <v>183</v>
      </c>
      <c r="O50" s="40" t="s">
        <v>119</v>
      </c>
      <c r="P50" s="40" t="s">
        <v>120</v>
      </c>
      <c r="Q50" s="98" t="s">
        <v>270</v>
      </c>
      <c r="R50" s="98" t="s">
        <v>268</v>
      </c>
      <c r="S50" s="55">
        <v>375</v>
      </c>
      <c r="T50" s="41">
        <v>0.15937499999999999</v>
      </c>
      <c r="U50" s="41">
        <v>0.31874999999999998</v>
      </c>
      <c r="V50" s="48">
        <v>5000</v>
      </c>
      <c r="W50" s="48">
        <v>15000</v>
      </c>
      <c r="X50" s="48">
        <f t="shared" si="3"/>
        <v>10000</v>
      </c>
      <c r="Y50" s="48">
        <f t="shared" si="4"/>
        <v>62745.098039215693</v>
      </c>
      <c r="Z50" s="48">
        <f t="shared" si="5"/>
        <v>62745.098039215693</v>
      </c>
    </row>
    <row r="51" spans="1:26" s="3" customFormat="1" ht="30" x14ac:dyDescent="0.3">
      <c r="A51" s="8" t="s">
        <v>54</v>
      </c>
      <c r="B51" s="3">
        <v>40</v>
      </c>
      <c r="C51" s="7"/>
      <c r="D51" s="3">
        <v>43.436090999999998</v>
      </c>
      <c r="E51" s="3">
        <v>-71.170051000000001</v>
      </c>
      <c r="F51" s="1" t="s">
        <v>56</v>
      </c>
      <c r="G51" s="2">
        <v>43370</v>
      </c>
      <c r="H51" s="4" t="s">
        <v>247</v>
      </c>
      <c r="I51" s="4" t="s">
        <v>254</v>
      </c>
      <c r="J51" s="2" t="s">
        <v>241</v>
      </c>
      <c r="K51" s="2" t="s">
        <v>236</v>
      </c>
      <c r="L51" s="1" t="s">
        <v>82</v>
      </c>
      <c r="M51" s="31">
        <v>5</v>
      </c>
      <c r="N51" s="2" t="s">
        <v>218</v>
      </c>
      <c r="O51" s="20" t="s">
        <v>170</v>
      </c>
      <c r="P51" s="20" t="s">
        <v>162</v>
      </c>
      <c r="Q51" s="98" t="s">
        <v>270</v>
      </c>
      <c r="R51" s="98" t="s">
        <v>268</v>
      </c>
      <c r="S51" s="54">
        <v>315.34224239160005</v>
      </c>
      <c r="T51" s="28">
        <v>0.69834085512750033</v>
      </c>
      <c r="U51" s="28">
        <v>0.44134966637999984</v>
      </c>
      <c r="V51" s="48">
        <v>5000</v>
      </c>
      <c r="W51" s="48">
        <v>15000</v>
      </c>
      <c r="X51" s="48">
        <f t="shared" si="3"/>
        <v>10000</v>
      </c>
      <c r="Y51" s="48">
        <f t="shared" si="4"/>
        <v>14319.654831270382</v>
      </c>
      <c r="Z51" s="48">
        <f t="shared" si="5"/>
        <v>71598.274156351908</v>
      </c>
    </row>
    <row r="52" spans="1:26" s="3" customFormat="1" ht="75" x14ac:dyDescent="0.3">
      <c r="A52" s="8">
        <v>32</v>
      </c>
      <c r="B52" s="3">
        <v>41</v>
      </c>
      <c r="C52" s="8"/>
      <c r="D52" s="3">
        <v>43.438040999999998</v>
      </c>
      <c r="E52" s="3">
        <v>-71.172517999999997</v>
      </c>
      <c r="F52" s="3" t="s">
        <v>4</v>
      </c>
      <c r="G52" s="4">
        <v>43308</v>
      </c>
      <c r="H52" s="4" t="s">
        <v>244</v>
      </c>
      <c r="I52" s="4" t="s">
        <v>253</v>
      </c>
      <c r="J52" s="4" t="s">
        <v>241</v>
      </c>
      <c r="K52" s="4" t="s">
        <v>258</v>
      </c>
      <c r="L52" s="2" t="s">
        <v>63</v>
      </c>
      <c r="M52" s="31">
        <v>1</v>
      </c>
      <c r="N52" s="4" t="s">
        <v>218</v>
      </c>
      <c r="O52" s="95" t="s">
        <v>103</v>
      </c>
      <c r="P52" s="40" t="s">
        <v>104</v>
      </c>
      <c r="Q52" s="98" t="s">
        <v>295</v>
      </c>
      <c r="R52" s="98" t="s">
        <v>294</v>
      </c>
      <c r="S52" s="57">
        <v>107.53683022090752</v>
      </c>
      <c r="T52" s="30">
        <v>0.31160213282053806</v>
      </c>
      <c r="U52" s="30">
        <v>0.26609127754618589</v>
      </c>
      <c r="V52" s="49">
        <v>15000</v>
      </c>
      <c r="W52" s="49">
        <v>30000</v>
      </c>
      <c r="X52" s="48">
        <f t="shared" si="3"/>
        <v>22500</v>
      </c>
      <c r="Y52" s="48">
        <f t="shared" si="4"/>
        <v>72207.464680476027</v>
      </c>
      <c r="Z52" s="48">
        <f t="shared" si="5"/>
        <v>72207.464680476027</v>
      </c>
    </row>
    <row r="53" spans="1:26" s="3" customFormat="1" ht="45" x14ac:dyDescent="0.3">
      <c r="A53" s="8">
        <v>9</v>
      </c>
      <c r="B53" s="3">
        <v>42</v>
      </c>
      <c r="C53" s="8"/>
      <c r="D53" s="3">
        <v>43.485452000000002</v>
      </c>
      <c r="E53" s="3">
        <v>-71.173669000000004</v>
      </c>
      <c r="F53" s="3" t="s">
        <v>4</v>
      </c>
      <c r="G53" s="4">
        <v>43279</v>
      </c>
      <c r="H53" s="4" t="s">
        <v>243</v>
      </c>
      <c r="I53" s="4" t="s">
        <v>253</v>
      </c>
      <c r="J53" s="4" t="s">
        <v>241</v>
      </c>
      <c r="K53" s="4" t="s">
        <v>236</v>
      </c>
      <c r="L53" s="4" t="s">
        <v>64</v>
      </c>
      <c r="M53" s="38">
        <v>2</v>
      </c>
      <c r="N53" s="4" t="s">
        <v>218</v>
      </c>
      <c r="O53" s="95" t="s">
        <v>75</v>
      </c>
      <c r="P53" s="40" t="s">
        <v>76</v>
      </c>
      <c r="Q53" s="98" t="s">
        <v>270</v>
      </c>
      <c r="R53" s="98" t="s">
        <v>300</v>
      </c>
      <c r="S53" s="57">
        <v>247.09665794400001</v>
      </c>
      <c r="T53" s="30">
        <v>0.60663864397500022</v>
      </c>
      <c r="U53" s="30">
        <v>0.37463290019999995</v>
      </c>
      <c r="V53" s="49">
        <v>15000</v>
      </c>
      <c r="W53" s="49">
        <v>30000</v>
      </c>
      <c r="X53" s="48">
        <f t="shared" si="3"/>
        <v>22500</v>
      </c>
      <c r="Y53" s="48">
        <f t="shared" si="4"/>
        <v>37089.625304066903</v>
      </c>
      <c r="Z53" s="48">
        <f t="shared" si="5"/>
        <v>74179.250608133807</v>
      </c>
    </row>
    <row r="54" spans="1:26" s="3" customFormat="1" ht="45" x14ac:dyDescent="0.3">
      <c r="A54" s="8">
        <v>25</v>
      </c>
      <c r="B54" s="3">
        <v>43</v>
      </c>
      <c r="C54" s="8"/>
      <c r="D54" s="3">
        <v>43.488179000000002</v>
      </c>
      <c r="E54" s="3">
        <v>-71.149792000000005</v>
      </c>
      <c r="F54" s="3" t="s">
        <v>4</v>
      </c>
      <c r="G54" s="4">
        <v>43293</v>
      </c>
      <c r="H54" s="4" t="s">
        <v>243</v>
      </c>
      <c r="I54" s="4" t="s">
        <v>253</v>
      </c>
      <c r="J54" s="4" t="s">
        <v>241</v>
      </c>
      <c r="K54" s="4" t="s">
        <v>236</v>
      </c>
      <c r="L54" s="4" t="s">
        <v>64</v>
      </c>
      <c r="M54" s="31">
        <v>2</v>
      </c>
      <c r="N54" s="4" t="s">
        <v>183</v>
      </c>
      <c r="O54" s="95" t="s">
        <v>93</v>
      </c>
      <c r="P54" s="40" t="s">
        <v>92</v>
      </c>
      <c r="Q54" s="98" t="s">
        <v>270</v>
      </c>
      <c r="R54" s="98" t="s">
        <v>269</v>
      </c>
      <c r="S54" s="55">
        <v>625</v>
      </c>
      <c r="T54" s="41">
        <v>0.265625</v>
      </c>
      <c r="U54" s="41">
        <v>0.53125</v>
      </c>
      <c r="V54" s="48">
        <v>5000</v>
      </c>
      <c r="W54" s="48">
        <v>15000</v>
      </c>
      <c r="X54" s="48">
        <f t="shared" si="3"/>
        <v>10000</v>
      </c>
      <c r="Y54" s="48">
        <f t="shared" si="4"/>
        <v>37647.058823529413</v>
      </c>
      <c r="Z54" s="48">
        <f t="shared" si="5"/>
        <v>75294.117647058825</v>
      </c>
    </row>
    <row r="55" spans="1:26" s="3" customFormat="1" ht="45" x14ac:dyDescent="0.3">
      <c r="A55" s="8">
        <v>30</v>
      </c>
      <c r="B55" s="3">
        <v>44</v>
      </c>
      <c r="C55" s="8"/>
      <c r="D55" s="3">
        <v>43.487783</v>
      </c>
      <c r="E55" s="3">
        <v>-71.152332999999999</v>
      </c>
      <c r="F55" s="3" t="s">
        <v>4</v>
      </c>
      <c r="G55" s="4">
        <v>43293</v>
      </c>
      <c r="H55" s="4" t="s">
        <v>243</v>
      </c>
      <c r="I55" s="4" t="s">
        <v>253</v>
      </c>
      <c r="J55" s="4" t="s">
        <v>241</v>
      </c>
      <c r="K55" s="4" t="s">
        <v>236</v>
      </c>
      <c r="L55" s="4" t="s">
        <v>64</v>
      </c>
      <c r="M55" s="38">
        <v>2</v>
      </c>
      <c r="N55" s="4" t="s">
        <v>218</v>
      </c>
      <c r="O55" s="95" t="s">
        <v>10</v>
      </c>
      <c r="P55" s="40" t="s">
        <v>88</v>
      </c>
      <c r="Q55" s="98" t="s">
        <v>283</v>
      </c>
      <c r="R55" s="98" t="s">
        <v>273</v>
      </c>
      <c r="S55" s="57">
        <v>443.89993371750012</v>
      </c>
      <c r="T55" s="30">
        <v>0.57713383406250029</v>
      </c>
      <c r="U55" s="30">
        <v>1.5901344180000008</v>
      </c>
      <c r="V55" s="49">
        <v>15000</v>
      </c>
      <c r="W55" s="49">
        <v>30000</v>
      </c>
      <c r="X55" s="48">
        <f t="shared" si="3"/>
        <v>22500</v>
      </c>
      <c r="Y55" s="48">
        <f t="shared" si="4"/>
        <v>38985.758020146466</v>
      </c>
      <c r="Z55" s="48">
        <f t="shared" si="5"/>
        <v>77971.516040292932</v>
      </c>
    </row>
    <row r="56" spans="1:26" s="3" customFormat="1" ht="30" x14ac:dyDescent="0.3">
      <c r="A56" s="8">
        <v>7</v>
      </c>
      <c r="B56" s="3">
        <v>45</v>
      </c>
      <c r="C56" s="8"/>
      <c r="D56" s="3">
        <v>43.477479000000002</v>
      </c>
      <c r="E56" s="3">
        <v>-71.180087999999998</v>
      </c>
      <c r="F56" s="3" t="s">
        <v>4</v>
      </c>
      <c r="G56" s="4">
        <v>43279</v>
      </c>
      <c r="H56" s="4" t="s">
        <v>243</v>
      </c>
      <c r="I56" s="4" t="s">
        <v>253</v>
      </c>
      <c r="J56" s="4" t="s">
        <v>241</v>
      </c>
      <c r="K56" s="4" t="s">
        <v>236</v>
      </c>
      <c r="L56" s="4" t="s">
        <v>64</v>
      </c>
      <c r="M56" s="38">
        <v>2</v>
      </c>
      <c r="N56" s="4" t="s">
        <v>183</v>
      </c>
      <c r="O56" s="95" t="s">
        <v>71</v>
      </c>
      <c r="P56" s="40" t="s">
        <v>72</v>
      </c>
      <c r="Q56" s="98" t="s">
        <v>270</v>
      </c>
      <c r="R56" s="98" t="s">
        <v>296</v>
      </c>
      <c r="S56" s="55">
        <v>600.00000000000011</v>
      </c>
      <c r="T56" s="41">
        <v>0.255</v>
      </c>
      <c r="U56" s="41">
        <v>0.51</v>
      </c>
      <c r="V56" s="48">
        <v>5000</v>
      </c>
      <c r="W56" s="48">
        <v>15000</v>
      </c>
      <c r="X56" s="48">
        <f t="shared" si="3"/>
        <v>10000</v>
      </c>
      <c r="Y56" s="48">
        <f t="shared" si="4"/>
        <v>39215.686274509804</v>
      </c>
      <c r="Z56" s="48">
        <f t="shared" si="5"/>
        <v>78431.372549019608</v>
      </c>
    </row>
    <row r="57" spans="1:26" s="3" customFormat="1" ht="45" x14ac:dyDescent="0.3">
      <c r="A57" s="8">
        <v>19</v>
      </c>
      <c r="B57" s="3">
        <v>46</v>
      </c>
      <c r="C57" s="8"/>
      <c r="D57" s="3">
        <v>43.472963</v>
      </c>
      <c r="E57" s="3">
        <v>-71.159228999999996</v>
      </c>
      <c r="F57" s="3" t="s">
        <v>4</v>
      </c>
      <c r="G57" s="4">
        <v>43293</v>
      </c>
      <c r="H57" s="4" t="s">
        <v>243</v>
      </c>
      <c r="I57" s="4" t="s">
        <v>253</v>
      </c>
      <c r="J57" s="4" t="s">
        <v>241</v>
      </c>
      <c r="K57" s="4" t="s">
        <v>236</v>
      </c>
      <c r="L57" s="4" t="s">
        <v>64</v>
      </c>
      <c r="M57" s="38">
        <v>2</v>
      </c>
      <c r="N57" s="4" t="s">
        <v>218</v>
      </c>
      <c r="O57" s="95" t="s">
        <v>85</v>
      </c>
      <c r="P57" s="40" t="s">
        <v>233</v>
      </c>
      <c r="Q57" s="98" t="s">
        <v>270</v>
      </c>
      <c r="R57" s="98" t="s">
        <v>287</v>
      </c>
      <c r="S57" s="57">
        <v>234.41424283800004</v>
      </c>
      <c r="T57" s="30">
        <v>0.53594232120000007</v>
      </c>
      <c r="U57" s="30">
        <v>0.45306760139999991</v>
      </c>
      <c r="V57" s="49">
        <v>15000</v>
      </c>
      <c r="W57" s="49">
        <v>30000</v>
      </c>
      <c r="X57" s="48">
        <f t="shared" si="3"/>
        <v>22500</v>
      </c>
      <c r="Y57" s="48">
        <f t="shared" si="4"/>
        <v>41982.12962473544</v>
      </c>
      <c r="Z57" s="48">
        <f t="shared" si="5"/>
        <v>83964.259249470881</v>
      </c>
    </row>
    <row r="58" spans="1:26" s="3" customFormat="1" ht="45" x14ac:dyDescent="0.3">
      <c r="A58" s="8">
        <v>12</v>
      </c>
      <c r="B58" s="3">
        <v>47</v>
      </c>
      <c r="C58" s="8"/>
      <c r="D58" s="3">
        <v>43.494169999999997</v>
      </c>
      <c r="E58" s="3">
        <v>-71.156390000000002</v>
      </c>
      <c r="F58" s="3" t="s">
        <v>4</v>
      </c>
      <c r="G58" s="4">
        <v>43280</v>
      </c>
      <c r="H58" s="4" t="s">
        <v>243</v>
      </c>
      <c r="I58" s="4" t="s">
        <v>253</v>
      </c>
      <c r="J58" s="4" t="s">
        <v>241</v>
      </c>
      <c r="K58" s="4" t="s">
        <v>236</v>
      </c>
      <c r="L58" s="4" t="s">
        <v>64</v>
      </c>
      <c r="M58" s="38">
        <v>2</v>
      </c>
      <c r="N58" s="4" t="s">
        <v>183</v>
      </c>
      <c r="O58" s="95" t="s">
        <v>80</v>
      </c>
      <c r="P58" s="40" t="s">
        <v>72</v>
      </c>
      <c r="Q58" s="98" t="s">
        <v>270</v>
      </c>
      <c r="R58" s="98" t="s">
        <v>269</v>
      </c>
      <c r="S58" s="55">
        <v>520.83333333333337</v>
      </c>
      <c r="T58" s="41">
        <v>0.22135416666666671</v>
      </c>
      <c r="U58" s="41">
        <v>0.44270833333333343</v>
      </c>
      <c r="V58" s="48">
        <v>5000</v>
      </c>
      <c r="W58" s="48">
        <v>15000</v>
      </c>
      <c r="X58" s="48">
        <f t="shared" si="3"/>
        <v>10000</v>
      </c>
      <c r="Y58" s="48">
        <f t="shared" si="4"/>
        <v>45176.470588235286</v>
      </c>
      <c r="Z58" s="48">
        <f t="shared" si="5"/>
        <v>90352.941176470573</v>
      </c>
    </row>
    <row r="59" spans="1:26" s="3" customFormat="1" ht="45" x14ac:dyDescent="0.3">
      <c r="A59" s="8">
        <v>29</v>
      </c>
      <c r="B59" s="3">
        <v>48</v>
      </c>
      <c r="C59" s="8"/>
      <c r="D59" s="3">
        <v>43.473888000000002</v>
      </c>
      <c r="E59" s="3">
        <v>-71.156268999999995</v>
      </c>
      <c r="F59" s="3" t="s">
        <v>4</v>
      </c>
      <c r="G59" s="4">
        <v>43293</v>
      </c>
      <c r="H59" s="4" t="s">
        <v>243</v>
      </c>
      <c r="I59" s="4" t="s">
        <v>253</v>
      </c>
      <c r="J59" s="4" t="s">
        <v>241</v>
      </c>
      <c r="K59" s="4" t="s">
        <v>236</v>
      </c>
      <c r="L59" s="4" t="s">
        <v>64</v>
      </c>
      <c r="M59" s="38">
        <v>2</v>
      </c>
      <c r="N59" s="4" t="s">
        <v>218</v>
      </c>
      <c r="O59" s="95" t="s">
        <v>99</v>
      </c>
      <c r="P59" s="40" t="s">
        <v>95</v>
      </c>
      <c r="Q59" s="98" t="s">
        <v>270</v>
      </c>
      <c r="R59" s="98" t="s">
        <v>269</v>
      </c>
      <c r="S59" s="57">
        <v>92.709107766000002</v>
      </c>
      <c r="T59" s="30">
        <v>0.21410533608750004</v>
      </c>
      <c r="U59" s="30">
        <v>8.3845446300000015E-2</v>
      </c>
      <c r="V59" s="48">
        <v>5000</v>
      </c>
      <c r="W59" s="48">
        <v>15000</v>
      </c>
      <c r="X59" s="48">
        <f t="shared" si="3"/>
        <v>10000</v>
      </c>
      <c r="Y59" s="48">
        <f t="shared" si="4"/>
        <v>46705.982124206494</v>
      </c>
      <c r="Z59" s="48">
        <f t="shared" si="5"/>
        <v>93411.964248412987</v>
      </c>
    </row>
    <row r="60" spans="1:26" s="3" customFormat="1" ht="45" x14ac:dyDescent="0.3">
      <c r="A60" s="8">
        <v>26</v>
      </c>
      <c r="B60" s="3">
        <v>49</v>
      </c>
      <c r="C60" s="8"/>
      <c r="D60" s="3">
        <v>43.488281999999998</v>
      </c>
      <c r="E60" s="3">
        <v>-71.150559000000001</v>
      </c>
      <c r="F60" s="3" t="s">
        <v>4</v>
      </c>
      <c r="G60" s="4">
        <v>43293</v>
      </c>
      <c r="H60" s="4" t="s">
        <v>243</v>
      </c>
      <c r="I60" s="4" t="s">
        <v>253</v>
      </c>
      <c r="J60" s="4" t="s">
        <v>241</v>
      </c>
      <c r="K60" s="4" t="s">
        <v>236</v>
      </c>
      <c r="L60" s="4" t="s">
        <v>64</v>
      </c>
      <c r="M60" s="31">
        <v>2</v>
      </c>
      <c r="N60" s="4" t="s">
        <v>183</v>
      </c>
      <c r="O60" s="95" t="s">
        <v>94</v>
      </c>
      <c r="P60" s="40" t="s">
        <v>95</v>
      </c>
      <c r="Q60" s="98" t="s">
        <v>270</v>
      </c>
      <c r="R60" s="98" t="s">
        <v>269</v>
      </c>
      <c r="S60" s="56">
        <v>500</v>
      </c>
      <c r="T60" s="60">
        <v>0.21249999999999999</v>
      </c>
      <c r="U60" s="60">
        <v>0.42499999999999999</v>
      </c>
      <c r="V60" s="48">
        <v>5000</v>
      </c>
      <c r="W60" s="48">
        <v>15000</v>
      </c>
      <c r="X60" s="48">
        <f t="shared" si="3"/>
        <v>10000</v>
      </c>
      <c r="Y60" s="48">
        <f t="shared" si="4"/>
        <v>47058.823529411769</v>
      </c>
      <c r="Z60" s="48">
        <f t="shared" si="5"/>
        <v>94117.647058823539</v>
      </c>
    </row>
    <row r="61" spans="1:26" s="3" customFormat="1" ht="45" x14ac:dyDescent="0.3">
      <c r="A61" s="8" t="s">
        <v>40</v>
      </c>
      <c r="B61" s="3">
        <v>50</v>
      </c>
      <c r="C61" s="7"/>
      <c r="D61" s="3">
        <v>43.441434000000001</v>
      </c>
      <c r="E61" s="3">
        <v>-71.208599000000007</v>
      </c>
      <c r="F61" s="1" t="s">
        <v>56</v>
      </c>
      <c r="G61" s="2">
        <v>43370</v>
      </c>
      <c r="H61" s="4" t="s">
        <v>247</v>
      </c>
      <c r="I61" s="4" t="s">
        <v>254</v>
      </c>
      <c r="J61" s="4" t="s">
        <v>242</v>
      </c>
      <c r="K61" s="2" t="s">
        <v>260</v>
      </c>
      <c r="L61" s="1" t="s">
        <v>82</v>
      </c>
      <c r="M61" s="31">
        <v>5</v>
      </c>
      <c r="N61" s="1" t="s">
        <v>183</v>
      </c>
      <c r="O61" s="20" t="s">
        <v>151</v>
      </c>
      <c r="P61" s="20" t="s">
        <v>130</v>
      </c>
      <c r="Q61" s="98" t="s">
        <v>270</v>
      </c>
      <c r="R61" s="98" t="s">
        <v>269</v>
      </c>
      <c r="S61" s="53">
        <v>4593.75</v>
      </c>
      <c r="T61" s="29">
        <v>1.95234375</v>
      </c>
      <c r="U61" s="29">
        <v>3.9046875000000001</v>
      </c>
      <c r="V61" s="48">
        <v>30000</v>
      </c>
      <c r="W61" s="48">
        <v>50000</v>
      </c>
      <c r="X61" s="48">
        <f t="shared" si="3"/>
        <v>40000</v>
      </c>
      <c r="Y61" s="48">
        <f t="shared" si="4"/>
        <v>20488.195278111245</v>
      </c>
      <c r="Z61" s="48">
        <f t="shared" si="5"/>
        <v>102440.97639055621</v>
      </c>
    </row>
    <row r="62" spans="1:26" s="3" customFormat="1" ht="45" x14ac:dyDescent="0.3">
      <c r="A62" s="8" t="s">
        <v>50</v>
      </c>
      <c r="B62" s="3">
        <v>51</v>
      </c>
      <c r="C62" s="8"/>
      <c r="D62" s="3">
        <v>43.455801000000001</v>
      </c>
      <c r="E62" s="3">
        <v>-71.166623000000001</v>
      </c>
      <c r="F62" s="3" t="s">
        <v>56</v>
      </c>
      <c r="G62" s="4">
        <v>43370</v>
      </c>
      <c r="H62" s="4" t="s">
        <v>247</v>
      </c>
      <c r="I62" s="4" t="s">
        <v>254</v>
      </c>
      <c r="J62" s="2" t="s">
        <v>241</v>
      </c>
      <c r="K62" s="4" t="s">
        <v>236</v>
      </c>
      <c r="L62" s="1" t="s">
        <v>82</v>
      </c>
      <c r="M62" s="31">
        <v>5</v>
      </c>
      <c r="N62" s="3" t="s">
        <v>183</v>
      </c>
      <c r="O62" s="40" t="s">
        <v>163</v>
      </c>
      <c r="P62" s="40" t="s">
        <v>164</v>
      </c>
      <c r="Q62" s="98" t="s">
        <v>270</v>
      </c>
      <c r="R62" s="98" t="s">
        <v>269</v>
      </c>
      <c r="S62" s="55">
        <v>1125</v>
      </c>
      <c r="T62" s="41">
        <v>0.47812500000000008</v>
      </c>
      <c r="U62" s="41">
        <v>0.95625000000000016</v>
      </c>
      <c r="V62" s="48">
        <v>5000</v>
      </c>
      <c r="W62" s="48">
        <v>15000</v>
      </c>
      <c r="X62" s="48">
        <f t="shared" si="3"/>
        <v>10000</v>
      </c>
      <c r="Y62" s="48">
        <f t="shared" si="4"/>
        <v>20915.032679738557</v>
      </c>
      <c r="Z62" s="48">
        <f t="shared" si="5"/>
        <v>104575.16339869279</v>
      </c>
    </row>
    <row r="63" spans="1:26" s="3" customFormat="1" ht="30" x14ac:dyDescent="0.3">
      <c r="A63" s="8" t="s">
        <v>37</v>
      </c>
      <c r="B63" s="3">
        <v>52</v>
      </c>
      <c r="C63" s="8"/>
      <c r="D63" s="3">
        <v>43.452461999999997</v>
      </c>
      <c r="E63" s="3">
        <v>-71.219748999999993</v>
      </c>
      <c r="F63" s="3" t="s">
        <v>56</v>
      </c>
      <c r="G63" s="4">
        <v>43370</v>
      </c>
      <c r="H63" s="4" t="s">
        <v>247</v>
      </c>
      <c r="I63" s="4" t="s">
        <v>254</v>
      </c>
      <c r="J63" s="4" t="s">
        <v>242</v>
      </c>
      <c r="K63" s="4" t="s">
        <v>260</v>
      </c>
      <c r="L63" s="1" t="s">
        <v>82</v>
      </c>
      <c r="M63" s="31">
        <v>5</v>
      </c>
      <c r="N63" s="4" t="s">
        <v>218</v>
      </c>
      <c r="O63" s="40" t="s">
        <v>147</v>
      </c>
      <c r="P63" s="40" t="s">
        <v>149</v>
      </c>
      <c r="Q63" s="98" t="s">
        <v>297</v>
      </c>
      <c r="R63" s="98" t="s">
        <v>298</v>
      </c>
      <c r="S63" s="57">
        <v>906.02887870440009</v>
      </c>
      <c r="T63" s="30">
        <v>1.8617031754200006</v>
      </c>
      <c r="U63" s="30">
        <v>10.342795419000003</v>
      </c>
      <c r="V63" s="48">
        <v>30000</v>
      </c>
      <c r="W63" s="48">
        <v>50000</v>
      </c>
      <c r="X63" s="48">
        <f t="shared" si="3"/>
        <v>40000</v>
      </c>
      <c r="Y63" s="48">
        <f t="shared" si="4"/>
        <v>21485.702193624926</v>
      </c>
      <c r="Z63" s="48">
        <f t="shared" si="5"/>
        <v>107428.51096812464</v>
      </c>
    </row>
    <row r="64" spans="1:26" s="3" customFormat="1" ht="45" x14ac:dyDescent="0.3">
      <c r="A64" s="8" t="s">
        <v>36</v>
      </c>
      <c r="B64" s="3">
        <v>53</v>
      </c>
      <c r="C64" s="8"/>
      <c r="D64" s="3">
        <v>43.452314000000001</v>
      </c>
      <c r="E64" s="3">
        <v>-71.220643999999993</v>
      </c>
      <c r="F64" s="3" t="s">
        <v>56</v>
      </c>
      <c r="G64" s="4">
        <v>43370</v>
      </c>
      <c r="H64" s="4" t="s">
        <v>247</v>
      </c>
      <c r="I64" s="4" t="s">
        <v>254</v>
      </c>
      <c r="J64" s="4" t="s">
        <v>242</v>
      </c>
      <c r="K64" s="4" t="s">
        <v>236</v>
      </c>
      <c r="L64" s="1" t="s">
        <v>82</v>
      </c>
      <c r="M64" s="31">
        <v>5</v>
      </c>
      <c r="N64" s="4" t="s">
        <v>218</v>
      </c>
      <c r="O64" s="40" t="s">
        <v>145</v>
      </c>
      <c r="P64" s="40" t="s">
        <v>146</v>
      </c>
      <c r="Q64" s="98" t="s">
        <v>265</v>
      </c>
      <c r="R64" s="98" t="s">
        <v>299</v>
      </c>
      <c r="S64" s="57">
        <v>292.56467348196003</v>
      </c>
      <c r="T64" s="30">
        <v>1.0361134552860003</v>
      </c>
      <c r="U64" s="30">
        <v>13.186187044524004</v>
      </c>
      <c r="V64" s="49">
        <v>15000</v>
      </c>
      <c r="W64" s="49">
        <v>30000</v>
      </c>
      <c r="X64" s="48">
        <f t="shared" si="3"/>
        <v>22500</v>
      </c>
      <c r="Y64" s="48">
        <f t="shared" si="4"/>
        <v>21715.768562999005</v>
      </c>
      <c r="Z64" s="48">
        <f t="shared" si="5"/>
        <v>108578.84281499502</v>
      </c>
    </row>
    <row r="65" spans="1:27" s="3" customFormat="1" ht="45" x14ac:dyDescent="0.3">
      <c r="A65" s="8" t="s">
        <v>39</v>
      </c>
      <c r="B65" s="3">
        <v>54</v>
      </c>
      <c r="C65" s="8"/>
      <c r="D65" s="3">
        <v>43.444046999999998</v>
      </c>
      <c r="E65" s="3">
        <v>-71.206941999999998</v>
      </c>
      <c r="F65" s="3" t="s">
        <v>56</v>
      </c>
      <c r="G65" s="4">
        <v>43370</v>
      </c>
      <c r="H65" s="4" t="s">
        <v>250</v>
      </c>
      <c r="I65" s="4" t="s">
        <v>253</v>
      </c>
      <c r="J65" s="4" t="s">
        <v>242</v>
      </c>
      <c r="K65" s="4" t="s">
        <v>260</v>
      </c>
      <c r="L65" s="1" t="s">
        <v>82</v>
      </c>
      <c r="M65" s="31">
        <v>3</v>
      </c>
      <c r="N65" s="4" t="s">
        <v>218</v>
      </c>
      <c r="O65" s="40" t="s">
        <v>150</v>
      </c>
      <c r="P65" s="40" t="s">
        <v>135</v>
      </c>
      <c r="Q65" s="98" t="s">
        <v>270</v>
      </c>
      <c r="R65" s="98" t="s">
        <v>269</v>
      </c>
      <c r="S65" s="57">
        <v>410.30203441500004</v>
      </c>
      <c r="T65" s="30">
        <v>0.56757323317500008</v>
      </c>
      <c r="U65" s="30">
        <v>1.2715537982400003</v>
      </c>
      <c r="V65" s="49">
        <v>15000</v>
      </c>
      <c r="W65" s="49">
        <v>30000</v>
      </c>
      <c r="X65" s="48">
        <f t="shared" si="3"/>
        <v>22500</v>
      </c>
      <c r="Y65" s="48">
        <f t="shared" si="4"/>
        <v>39642.461421471875</v>
      </c>
      <c r="Z65" s="48">
        <f t="shared" si="5"/>
        <v>118927.38426441561</v>
      </c>
    </row>
    <row r="66" spans="1:27" s="3" customFormat="1" ht="75" x14ac:dyDescent="0.3">
      <c r="A66" s="8">
        <v>8</v>
      </c>
      <c r="B66" s="3">
        <v>55</v>
      </c>
      <c r="C66" s="8"/>
      <c r="D66" s="3">
        <v>43.485813999999998</v>
      </c>
      <c r="E66" s="3">
        <v>-71.174203000000006</v>
      </c>
      <c r="F66" s="3" t="s">
        <v>4</v>
      </c>
      <c r="G66" s="4">
        <v>43279</v>
      </c>
      <c r="H66" s="4" t="s">
        <v>243</v>
      </c>
      <c r="I66" s="4" t="s">
        <v>253</v>
      </c>
      <c r="J66" s="4" t="s">
        <v>241</v>
      </c>
      <c r="K66" s="4" t="s">
        <v>236</v>
      </c>
      <c r="L66" s="4" t="s">
        <v>64</v>
      </c>
      <c r="M66" s="38">
        <v>2</v>
      </c>
      <c r="N66" s="4" t="s">
        <v>218</v>
      </c>
      <c r="O66" s="95" t="s">
        <v>73</v>
      </c>
      <c r="P66" s="40" t="s">
        <v>74</v>
      </c>
      <c r="Q66" s="98" t="s">
        <v>274</v>
      </c>
      <c r="R66" s="98" t="s">
        <v>300</v>
      </c>
      <c r="S66" s="57">
        <v>281.59155073800008</v>
      </c>
      <c r="T66" s="30">
        <v>0.66789781695000006</v>
      </c>
      <c r="U66" s="30">
        <v>0.36637750440000039</v>
      </c>
      <c r="V66" s="48">
        <v>30000</v>
      </c>
      <c r="W66" s="48">
        <v>50000</v>
      </c>
      <c r="X66" s="48">
        <f t="shared" si="3"/>
        <v>40000</v>
      </c>
      <c r="Y66" s="48">
        <f t="shared" si="4"/>
        <v>59889.400721000507</v>
      </c>
      <c r="Z66" s="48">
        <f t="shared" si="5"/>
        <v>119778.80144200101</v>
      </c>
    </row>
    <row r="67" spans="1:27" s="3" customFormat="1" ht="45" x14ac:dyDescent="0.3">
      <c r="A67" s="8" t="s">
        <v>173</v>
      </c>
      <c r="B67" s="3">
        <v>56</v>
      </c>
      <c r="C67" s="8"/>
      <c r="D67" s="3">
        <v>43.486837000000001</v>
      </c>
      <c r="E67" s="3">
        <v>-71.157409000000001</v>
      </c>
      <c r="F67" s="3" t="s">
        <v>56</v>
      </c>
      <c r="G67" s="4">
        <v>43370</v>
      </c>
      <c r="H67" s="4" t="s">
        <v>243</v>
      </c>
      <c r="I67" s="4" t="s">
        <v>254</v>
      </c>
      <c r="J67" s="2" t="s">
        <v>241</v>
      </c>
      <c r="K67" s="4" t="s">
        <v>260</v>
      </c>
      <c r="L67" s="4" t="s">
        <v>64</v>
      </c>
      <c r="M67" s="38">
        <v>2</v>
      </c>
      <c r="N67" s="3" t="s">
        <v>183</v>
      </c>
      <c r="O67" s="40" t="s">
        <v>123</v>
      </c>
      <c r="P67" s="40" t="s">
        <v>124</v>
      </c>
      <c r="Q67" s="98" t="s">
        <v>270</v>
      </c>
      <c r="R67" s="98" t="s">
        <v>269</v>
      </c>
      <c r="S67" s="55">
        <v>375</v>
      </c>
      <c r="T67" s="41">
        <v>0.15937499999999999</v>
      </c>
      <c r="U67" s="41">
        <v>0.31874999999999998</v>
      </c>
      <c r="V67" s="48">
        <v>5000</v>
      </c>
      <c r="W67" s="48">
        <v>15000</v>
      </c>
      <c r="X67" s="48">
        <f t="shared" si="3"/>
        <v>10000</v>
      </c>
      <c r="Y67" s="48">
        <f t="shared" si="4"/>
        <v>62745.098039215693</v>
      </c>
      <c r="Z67" s="48">
        <f t="shared" si="5"/>
        <v>125490.19607843139</v>
      </c>
    </row>
    <row r="68" spans="1:27" ht="60" x14ac:dyDescent="0.3">
      <c r="A68" s="8">
        <v>14</v>
      </c>
      <c r="B68" s="3">
        <v>57</v>
      </c>
      <c r="C68" s="8"/>
      <c r="D68" s="3">
        <v>43.498060000000002</v>
      </c>
      <c r="E68" s="3">
        <v>-71.15889</v>
      </c>
      <c r="F68" s="3" t="s">
        <v>4</v>
      </c>
      <c r="G68" s="4">
        <v>43280</v>
      </c>
      <c r="H68" s="4" t="s">
        <v>243</v>
      </c>
      <c r="I68" s="4" t="s">
        <v>253</v>
      </c>
      <c r="J68" s="4" t="s">
        <v>241</v>
      </c>
      <c r="K68" s="4" t="s">
        <v>236</v>
      </c>
      <c r="L68" s="4" t="s">
        <v>64</v>
      </c>
      <c r="M68" s="38">
        <v>2</v>
      </c>
      <c r="N68" s="4" t="s">
        <v>183</v>
      </c>
      <c r="O68" s="95" t="s">
        <v>6</v>
      </c>
      <c r="P68" s="40" t="s">
        <v>16</v>
      </c>
      <c r="Q68" s="98" t="s">
        <v>283</v>
      </c>
      <c r="R68" s="98" t="s">
        <v>284</v>
      </c>
      <c r="S68" s="55">
        <v>375</v>
      </c>
      <c r="T68" s="41">
        <v>0.15937499999999999</v>
      </c>
      <c r="U68" s="41">
        <v>0.31874999999999998</v>
      </c>
      <c r="V68" s="48">
        <v>5000</v>
      </c>
      <c r="W68" s="48">
        <v>15000</v>
      </c>
      <c r="X68" s="48">
        <f t="shared" si="3"/>
        <v>10000</v>
      </c>
      <c r="Y68" s="48">
        <f t="shared" si="4"/>
        <v>62745.098039215693</v>
      </c>
      <c r="Z68" s="48">
        <f t="shared" si="5"/>
        <v>125490.19607843139</v>
      </c>
      <c r="AA68" s="18"/>
    </row>
    <row r="69" spans="1:27" s="3" customFormat="1" ht="45" x14ac:dyDescent="0.3">
      <c r="A69" s="8" t="s">
        <v>32</v>
      </c>
      <c r="B69" s="3">
        <v>58</v>
      </c>
      <c r="C69" s="7"/>
      <c r="D69" s="3">
        <v>43.450667000000003</v>
      </c>
      <c r="E69" s="3">
        <v>-71.235637999999994</v>
      </c>
      <c r="F69" s="1" t="s">
        <v>56</v>
      </c>
      <c r="G69" s="2">
        <v>43370</v>
      </c>
      <c r="H69" s="4" t="s">
        <v>247</v>
      </c>
      <c r="I69" s="4" t="s">
        <v>253</v>
      </c>
      <c r="J69" s="4" t="s">
        <v>242</v>
      </c>
      <c r="K69" s="2" t="s">
        <v>260</v>
      </c>
      <c r="L69" s="1" t="s">
        <v>82</v>
      </c>
      <c r="M69" s="31">
        <v>5</v>
      </c>
      <c r="N69" s="2" t="s">
        <v>218</v>
      </c>
      <c r="O69" s="20" t="s">
        <v>139</v>
      </c>
      <c r="P69" s="20" t="s">
        <v>130</v>
      </c>
      <c r="Q69" s="98" t="s">
        <v>270</v>
      </c>
      <c r="R69" s="98" t="s">
        <v>269</v>
      </c>
      <c r="S69" s="54">
        <v>741.87574396650007</v>
      </c>
      <c r="T69" s="28">
        <v>0.87238768500000008</v>
      </c>
      <c r="U69" s="28">
        <v>3.9143575386000009</v>
      </c>
      <c r="V69" s="49">
        <v>15000</v>
      </c>
      <c r="W69" s="49">
        <v>30000</v>
      </c>
      <c r="X69" s="48">
        <f t="shared" si="3"/>
        <v>22500</v>
      </c>
      <c r="Y69" s="48">
        <f t="shared" si="4"/>
        <v>25791.285671346905</v>
      </c>
      <c r="Z69" s="48">
        <f t="shared" si="5"/>
        <v>128956.42835673453</v>
      </c>
    </row>
    <row r="70" spans="1:27" s="3" customFormat="1" ht="30" x14ac:dyDescent="0.3">
      <c r="A70" s="8" t="s">
        <v>31</v>
      </c>
      <c r="B70" s="3">
        <v>59</v>
      </c>
      <c r="C70" s="7"/>
      <c r="D70" s="3">
        <v>43.450555999999999</v>
      </c>
      <c r="E70" s="3">
        <v>-71.235865000000004</v>
      </c>
      <c r="F70" s="1" t="s">
        <v>56</v>
      </c>
      <c r="G70" s="2">
        <v>43370</v>
      </c>
      <c r="H70" s="4" t="s">
        <v>247</v>
      </c>
      <c r="I70" s="4" t="s">
        <v>253</v>
      </c>
      <c r="J70" s="4" t="s">
        <v>242</v>
      </c>
      <c r="K70" s="2" t="s">
        <v>260</v>
      </c>
      <c r="L70" s="1" t="s">
        <v>82</v>
      </c>
      <c r="M70" s="31">
        <v>5</v>
      </c>
      <c r="N70" s="2" t="s">
        <v>218</v>
      </c>
      <c r="O70" s="20" t="s">
        <v>137</v>
      </c>
      <c r="P70" s="20" t="s">
        <v>138</v>
      </c>
      <c r="Q70" s="100" t="s">
        <v>267</v>
      </c>
      <c r="R70" s="98" t="s">
        <v>300</v>
      </c>
      <c r="S70" s="54">
        <v>366.70062970800012</v>
      </c>
      <c r="T70" s="28">
        <v>0.86607796275000037</v>
      </c>
      <c r="U70" s="28">
        <v>0.68250514049999911</v>
      </c>
      <c r="V70" s="49">
        <v>15000</v>
      </c>
      <c r="W70" s="49">
        <v>30000</v>
      </c>
      <c r="X70" s="48">
        <f t="shared" si="3"/>
        <v>22500</v>
      </c>
      <c r="Y70" s="48">
        <f t="shared" si="4"/>
        <v>25979.185440254398</v>
      </c>
      <c r="Z70" s="48">
        <f t="shared" si="5"/>
        <v>129895.92720127199</v>
      </c>
    </row>
    <row r="71" spans="1:27" s="3" customFormat="1" ht="45" x14ac:dyDescent="0.3">
      <c r="A71" s="8" t="s">
        <v>177</v>
      </c>
      <c r="B71" s="3">
        <v>60</v>
      </c>
      <c r="C71" s="8"/>
      <c r="D71" s="3">
        <v>43.430892999999998</v>
      </c>
      <c r="E71" s="3">
        <v>-71.253891999999993</v>
      </c>
      <c r="F71" s="3" t="s">
        <v>56</v>
      </c>
      <c r="G71" s="4">
        <v>43370</v>
      </c>
      <c r="H71" s="4" t="s">
        <v>247</v>
      </c>
      <c r="I71" s="4" t="s">
        <v>253</v>
      </c>
      <c r="J71" s="4" t="s">
        <v>242</v>
      </c>
      <c r="K71" s="4" t="s">
        <v>236</v>
      </c>
      <c r="L71" s="1" t="s">
        <v>82</v>
      </c>
      <c r="M71" s="31">
        <v>5</v>
      </c>
      <c r="N71" s="3" t="s">
        <v>183</v>
      </c>
      <c r="O71" s="40" t="s">
        <v>131</v>
      </c>
      <c r="P71" s="40" t="s">
        <v>130</v>
      </c>
      <c r="Q71" s="98" t="s">
        <v>270</v>
      </c>
      <c r="R71" s="98" t="s">
        <v>269</v>
      </c>
      <c r="S71" s="55">
        <v>1666.6666666666667</v>
      </c>
      <c r="T71" s="41">
        <v>0.70833333333333337</v>
      </c>
      <c r="U71" s="41">
        <v>1.4166666666666667</v>
      </c>
      <c r="V71" s="49">
        <v>15000</v>
      </c>
      <c r="W71" s="49">
        <v>30000</v>
      </c>
      <c r="X71" s="48">
        <f t="shared" si="3"/>
        <v>22500</v>
      </c>
      <c r="Y71" s="48">
        <f t="shared" si="4"/>
        <v>31764.705882352941</v>
      </c>
      <c r="Z71" s="48">
        <f t="shared" si="5"/>
        <v>158823.5294117647</v>
      </c>
    </row>
    <row r="72" spans="1:27" s="3" customFormat="1" ht="45" x14ac:dyDescent="0.3">
      <c r="A72" s="8" t="s">
        <v>47</v>
      </c>
      <c r="B72" s="3">
        <v>61</v>
      </c>
      <c r="C72" s="8"/>
      <c r="D72" s="3">
        <v>43.411267000000002</v>
      </c>
      <c r="E72" s="3">
        <v>-71.202128999999999</v>
      </c>
      <c r="F72" s="3" t="s">
        <v>56</v>
      </c>
      <c r="G72" s="4">
        <v>43370</v>
      </c>
      <c r="H72" s="4" t="s">
        <v>247</v>
      </c>
      <c r="I72" s="4" t="s">
        <v>254</v>
      </c>
      <c r="J72" s="4" t="s">
        <v>242</v>
      </c>
      <c r="K72" s="4" t="s">
        <v>236</v>
      </c>
      <c r="L72" s="1" t="s">
        <v>82</v>
      </c>
      <c r="M72" s="31">
        <v>5</v>
      </c>
      <c r="N72" s="3" t="s">
        <v>183</v>
      </c>
      <c r="O72" s="40" t="s">
        <v>158</v>
      </c>
      <c r="P72" s="40" t="s">
        <v>130</v>
      </c>
      <c r="Q72" s="98" t="s">
        <v>270</v>
      </c>
      <c r="R72" s="98" t="s">
        <v>269</v>
      </c>
      <c r="S72" s="55">
        <v>1666.6666666666667</v>
      </c>
      <c r="T72" s="41">
        <v>0.70833333333333337</v>
      </c>
      <c r="U72" s="41">
        <v>1.4166666666666667</v>
      </c>
      <c r="V72" s="49">
        <v>15000</v>
      </c>
      <c r="W72" s="49">
        <v>30000</v>
      </c>
      <c r="X72" s="48">
        <f t="shared" si="3"/>
        <v>22500</v>
      </c>
      <c r="Y72" s="48">
        <f t="shared" si="4"/>
        <v>31764.705882352941</v>
      </c>
      <c r="Z72" s="48">
        <f t="shared" si="5"/>
        <v>158823.5294117647</v>
      </c>
    </row>
    <row r="73" spans="1:27" s="3" customFormat="1" ht="45" x14ac:dyDescent="0.3">
      <c r="A73" s="8">
        <v>28</v>
      </c>
      <c r="B73" s="3">
        <v>62</v>
      </c>
      <c r="C73" s="8"/>
      <c r="D73" s="3">
        <v>43.479536000000003</v>
      </c>
      <c r="E73" s="3">
        <v>-71.157781</v>
      </c>
      <c r="F73" s="3" t="s">
        <v>4</v>
      </c>
      <c r="G73" s="4">
        <v>43293</v>
      </c>
      <c r="H73" s="4" t="s">
        <v>243</v>
      </c>
      <c r="I73" s="4" t="s">
        <v>254</v>
      </c>
      <c r="J73" s="4" t="s">
        <v>241</v>
      </c>
      <c r="K73" s="4" t="s">
        <v>236</v>
      </c>
      <c r="L73" s="4" t="s">
        <v>64</v>
      </c>
      <c r="M73" s="38">
        <v>2</v>
      </c>
      <c r="N73" s="4" t="s">
        <v>183</v>
      </c>
      <c r="O73" s="95" t="s">
        <v>98</v>
      </c>
      <c r="P73" s="40" t="s">
        <v>97</v>
      </c>
      <c r="Q73" s="98" t="s">
        <v>270</v>
      </c>
      <c r="R73" s="98" t="s">
        <v>301</v>
      </c>
      <c r="S73" s="55">
        <v>660</v>
      </c>
      <c r="T73" s="41">
        <v>0.28050000000000003</v>
      </c>
      <c r="U73" s="41">
        <v>0.56100000000000005</v>
      </c>
      <c r="V73" s="49">
        <v>15000</v>
      </c>
      <c r="W73" s="49">
        <v>30000</v>
      </c>
      <c r="X73" s="48">
        <f t="shared" ref="X73:X94" si="6">AVERAGE(V73:W73)</f>
        <v>22500</v>
      </c>
      <c r="Y73" s="48">
        <f t="shared" ref="Y73:Y80" si="7">X73/T73</f>
        <v>80213.903743315503</v>
      </c>
      <c r="Z73" s="48">
        <f t="shared" ref="Z73:Z80" si="8">(X73*M73)/T73</f>
        <v>160427.80748663101</v>
      </c>
    </row>
    <row r="74" spans="1:27" ht="45" x14ac:dyDescent="0.3">
      <c r="A74" s="8" t="s">
        <v>52</v>
      </c>
      <c r="B74" s="3">
        <v>63</v>
      </c>
      <c r="C74" s="8"/>
      <c r="D74" s="3">
        <v>43.449171999999997</v>
      </c>
      <c r="E74" s="3">
        <v>-71.175645000000003</v>
      </c>
      <c r="F74" s="3" t="s">
        <v>56</v>
      </c>
      <c r="G74" s="4">
        <v>43370</v>
      </c>
      <c r="H74" s="4" t="s">
        <v>251</v>
      </c>
      <c r="I74" s="4" t="s">
        <v>253</v>
      </c>
      <c r="J74" s="2" t="s">
        <v>241</v>
      </c>
      <c r="K74" s="4" t="s">
        <v>258</v>
      </c>
      <c r="L74" s="2" t="s">
        <v>63</v>
      </c>
      <c r="M74" s="31">
        <v>1</v>
      </c>
      <c r="N74" s="4" t="s">
        <v>218</v>
      </c>
      <c r="O74" s="40" t="s">
        <v>166</v>
      </c>
      <c r="P74" s="40" t="s">
        <v>168</v>
      </c>
      <c r="Q74" s="98" t="s">
        <v>270</v>
      </c>
      <c r="R74" s="98" t="s">
        <v>276</v>
      </c>
      <c r="S74" s="57">
        <v>751.44600359168794</v>
      </c>
      <c r="T74" s="30">
        <v>1.0345781490729431</v>
      </c>
      <c r="U74" s="30">
        <v>3.5968877819459504</v>
      </c>
      <c r="V74" s="49">
        <v>150000</v>
      </c>
      <c r="W74" s="49">
        <v>200000</v>
      </c>
      <c r="X74" s="48">
        <f t="shared" si="6"/>
        <v>175000</v>
      </c>
      <c r="Y74" s="48">
        <f t="shared" si="7"/>
        <v>169151.06911625058</v>
      </c>
      <c r="Z74" s="48">
        <f t="shared" si="8"/>
        <v>169151.06911625058</v>
      </c>
      <c r="AA74" s="18"/>
    </row>
    <row r="75" spans="1:27" ht="45" x14ac:dyDescent="0.3">
      <c r="A75" s="8">
        <v>24</v>
      </c>
      <c r="B75" s="3">
        <v>64</v>
      </c>
      <c r="C75" s="8"/>
      <c r="D75" s="3">
        <v>43.488115999999998</v>
      </c>
      <c r="E75" s="3">
        <v>-71.149260999999996</v>
      </c>
      <c r="F75" s="3" t="s">
        <v>4</v>
      </c>
      <c r="G75" s="4">
        <v>43293</v>
      </c>
      <c r="H75" s="4" t="s">
        <v>243</v>
      </c>
      <c r="I75" s="4" t="s">
        <v>253</v>
      </c>
      <c r="J75" s="4" t="s">
        <v>241</v>
      </c>
      <c r="K75" s="4" t="s">
        <v>236</v>
      </c>
      <c r="L75" s="4" t="s">
        <v>64</v>
      </c>
      <c r="M75" s="38">
        <v>2</v>
      </c>
      <c r="N75" s="4" t="s">
        <v>183</v>
      </c>
      <c r="O75" s="95" t="s">
        <v>91</v>
      </c>
      <c r="P75" s="40" t="s">
        <v>92</v>
      </c>
      <c r="Q75" s="98" t="s">
        <v>270</v>
      </c>
      <c r="R75" s="98" t="s">
        <v>269</v>
      </c>
      <c r="S75" s="55">
        <v>150.00000000000003</v>
      </c>
      <c r="T75" s="41">
        <v>6.3750000000000001E-2</v>
      </c>
      <c r="U75" s="41">
        <v>0.1275</v>
      </c>
      <c r="V75" s="48">
        <v>5000</v>
      </c>
      <c r="W75" s="48">
        <v>15000</v>
      </c>
      <c r="X75" s="48">
        <f t="shared" si="6"/>
        <v>10000</v>
      </c>
      <c r="Y75" s="48">
        <f t="shared" si="7"/>
        <v>156862.74509803922</v>
      </c>
      <c r="Z75" s="48">
        <f t="shared" si="8"/>
        <v>313725.49019607843</v>
      </c>
      <c r="AA75" s="3"/>
    </row>
    <row r="76" spans="1:27" ht="60" x14ac:dyDescent="0.3">
      <c r="A76" s="8">
        <v>21</v>
      </c>
      <c r="B76" s="3">
        <v>65</v>
      </c>
      <c r="C76" s="8"/>
      <c r="D76" s="3">
        <v>43.489668000000002</v>
      </c>
      <c r="E76" s="3">
        <v>-71.136114000000006</v>
      </c>
      <c r="F76" s="3" t="s">
        <v>4</v>
      </c>
      <c r="G76" s="4">
        <v>43293</v>
      </c>
      <c r="H76" s="4" t="s">
        <v>243</v>
      </c>
      <c r="I76" s="4" t="s">
        <v>253</v>
      </c>
      <c r="J76" s="4" t="s">
        <v>241</v>
      </c>
      <c r="K76" s="4" t="s">
        <v>236</v>
      </c>
      <c r="L76" s="4" t="s">
        <v>64</v>
      </c>
      <c r="M76" s="38">
        <v>2</v>
      </c>
      <c r="N76" s="4" t="s">
        <v>183</v>
      </c>
      <c r="O76" s="95" t="s">
        <v>8</v>
      </c>
      <c r="P76" s="40" t="s">
        <v>88</v>
      </c>
      <c r="Q76" s="98" t="s">
        <v>283</v>
      </c>
      <c r="R76" s="98" t="s">
        <v>284</v>
      </c>
      <c r="S76" s="55">
        <v>274.99999999999994</v>
      </c>
      <c r="T76" s="41">
        <v>0.11687499999999998</v>
      </c>
      <c r="U76" s="41">
        <v>0.23374999999999996</v>
      </c>
      <c r="V76" s="49">
        <v>15000</v>
      </c>
      <c r="W76" s="49">
        <v>30000</v>
      </c>
      <c r="X76" s="48">
        <f t="shared" si="6"/>
        <v>22500</v>
      </c>
      <c r="Y76" s="48">
        <f t="shared" si="7"/>
        <v>192513.36898395725</v>
      </c>
      <c r="Z76" s="48">
        <f t="shared" si="8"/>
        <v>385026.73796791449</v>
      </c>
      <c r="AA76" s="3"/>
    </row>
    <row r="77" spans="1:27" ht="60" x14ac:dyDescent="0.3">
      <c r="A77" s="8">
        <v>22</v>
      </c>
      <c r="B77" s="3">
        <v>66</v>
      </c>
      <c r="C77" s="8"/>
      <c r="D77" s="3">
        <v>43.489646999999998</v>
      </c>
      <c r="E77" s="3">
        <v>-71.134451999999996</v>
      </c>
      <c r="F77" s="3" t="s">
        <v>4</v>
      </c>
      <c r="G77" s="4">
        <v>43293</v>
      </c>
      <c r="H77" s="4" t="s">
        <v>243</v>
      </c>
      <c r="I77" s="4" t="s">
        <v>253</v>
      </c>
      <c r="J77" s="4" t="s">
        <v>241</v>
      </c>
      <c r="K77" s="4" t="s">
        <v>236</v>
      </c>
      <c r="L77" s="4" t="s">
        <v>64</v>
      </c>
      <c r="M77" s="38">
        <v>2</v>
      </c>
      <c r="N77" s="4" t="s">
        <v>183</v>
      </c>
      <c r="O77" s="95" t="s">
        <v>9</v>
      </c>
      <c r="P77" s="40" t="s">
        <v>88</v>
      </c>
      <c r="Q77" s="98" t="s">
        <v>283</v>
      </c>
      <c r="R77" s="98" t="s">
        <v>284</v>
      </c>
      <c r="S77" s="55">
        <v>274.99999999999994</v>
      </c>
      <c r="T77" s="41">
        <v>0.11687499999999998</v>
      </c>
      <c r="U77" s="41">
        <v>0.23374999999999996</v>
      </c>
      <c r="V77" s="49">
        <v>15000</v>
      </c>
      <c r="W77" s="49">
        <v>30000</v>
      </c>
      <c r="X77" s="48">
        <f t="shared" si="6"/>
        <v>22500</v>
      </c>
      <c r="Y77" s="48">
        <f t="shared" si="7"/>
        <v>192513.36898395725</v>
      </c>
      <c r="Z77" s="48">
        <f t="shared" si="8"/>
        <v>385026.73796791449</v>
      </c>
      <c r="AA77" s="3"/>
    </row>
    <row r="78" spans="1:27" ht="45" x14ac:dyDescent="0.3">
      <c r="A78" s="8" t="s">
        <v>48</v>
      </c>
      <c r="B78" s="3">
        <v>67</v>
      </c>
      <c r="C78" s="8"/>
      <c r="D78" s="3">
        <v>43.448613000000002</v>
      </c>
      <c r="E78" s="3">
        <v>-71.201960999999997</v>
      </c>
      <c r="F78" s="3" t="s">
        <v>56</v>
      </c>
      <c r="G78" s="4">
        <v>43370</v>
      </c>
      <c r="H78" s="4" t="s">
        <v>247</v>
      </c>
      <c r="I78" s="4" t="s">
        <v>254</v>
      </c>
      <c r="J78" s="4" t="s">
        <v>242</v>
      </c>
      <c r="K78" s="4" t="s">
        <v>261</v>
      </c>
      <c r="L78" s="1" t="s">
        <v>82</v>
      </c>
      <c r="M78" s="31">
        <v>5</v>
      </c>
      <c r="N78" s="3" t="s">
        <v>183</v>
      </c>
      <c r="O78" s="40" t="s">
        <v>159</v>
      </c>
      <c r="P78" s="40" t="s">
        <v>160</v>
      </c>
      <c r="Q78" s="98" t="s">
        <v>290</v>
      </c>
      <c r="R78" s="98" t="s">
        <v>269</v>
      </c>
      <c r="S78" s="55">
        <v>281.25</v>
      </c>
      <c r="T78" s="41">
        <v>0.11953125000000002</v>
      </c>
      <c r="U78" s="41">
        <v>0.23906250000000004</v>
      </c>
      <c r="V78" s="48">
        <v>5000</v>
      </c>
      <c r="W78" s="48">
        <v>15000</v>
      </c>
      <c r="X78" s="48">
        <f t="shared" si="6"/>
        <v>10000</v>
      </c>
      <c r="Y78" s="48">
        <f t="shared" si="7"/>
        <v>83660.130718954228</v>
      </c>
      <c r="Z78" s="48">
        <f t="shared" si="8"/>
        <v>418300.65359477117</v>
      </c>
    </row>
    <row r="79" spans="1:27" ht="60" x14ac:dyDescent="0.3">
      <c r="A79" s="8">
        <v>27</v>
      </c>
      <c r="B79" s="3">
        <v>68</v>
      </c>
      <c r="C79" s="8"/>
      <c r="D79" s="3">
        <v>43.481015999999997</v>
      </c>
      <c r="E79" s="3">
        <v>-71.157550000000001</v>
      </c>
      <c r="F79" s="3" t="s">
        <v>4</v>
      </c>
      <c r="G79" s="4">
        <v>43293</v>
      </c>
      <c r="H79" s="4" t="s">
        <v>243</v>
      </c>
      <c r="I79" s="4" t="s">
        <v>255</v>
      </c>
      <c r="J79" s="4" t="s">
        <v>241</v>
      </c>
      <c r="K79" s="4" t="s">
        <v>236</v>
      </c>
      <c r="L79" s="4" t="s">
        <v>64</v>
      </c>
      <c r="M79" s="38">
        <v>2</v>
      </c>
      <c r="N79" s="4" t="s">
        <v>183</v>
      </c>
      <c r="O79" s="95" t="s">
        <v>96</v>
      </c>
      <c r="P79" s="40" t="s">
        <v>97</v>
      </c>
      <c r="Q79" s="98" t="s">
        <v>283</v>
      </c>
      <c r="R79" s="98" t="s">
        <v>284</v>
      </c>
      <c r="S79" s="55">
        <v>412.5</v>
      </c>
      <c r="T79" s="41">
        <v>0.17531249999999998</v>
      </c>
      <c r="U79" s="41">
        <v>0.35062499999999996</v>
      </c>
      <c r="V79" s="48">
        <v>30000</v>
      </c>
      <c r="W79" s="48">
        <v>50000</v>
      </c>
      <c r="X79" s="48">
        <f t="shared" si="6"/>
        <v>40000</v>
      </c>
      <c r="Y79" s="48">
        <f t="shared" si="7"/>
        <v>228163.99286987525</v>
      </c>
      <c r="Z79" s="48">
        <f t="shared" si="8"/>
        <v>456327.9857397505</v>
      </c>
    </row>
    <row r="80" spans="1:27" ht="45" x14ac:dyDescent="0.3">
      <c r="A80" s="8" t="s">
        <v>51</v>
      </c>
      <c r="B80" s="3">
        <v>69</v>
      </c>
      <c r="C80" s="8"/>
      <c r="D80" s="3">
        <v>43.457667000000001</v>
      </c>
      <c r="E80" s="3">
        <v>-71.164569</v>
      </c>
      <c r="F80" s="3" t="s">
        <v>56</v>
      </c>
      <c r="G80" s="4">
        <v>43370</v>
      </c>
      <c r="H80" s="4" t="s">
        <v>247</v>
      </c>
      <c r="I80" s="4" t="s">
        <v>254</v>
      </c>
      <c r="J80" s="2" t="s">
        <v>241</v>
      </c>
      <c r="K80" s="4" t="s">
        <v>260</v>
      </c>
      <c r="L80" s="1" t="s">
        <v>82</v>
      </c>
      <c r="M80" s="31">
        <v>5</v>
      </c>
      <c r="N80" s="4" t="s">
        <v>218</v>
      </c>
      <c r="O80" s="40" t="s">
        <v>165</v>
      </c>
      <c r="P80" s="40" t="s">
        <v>130</v>
      </c>
      <c r="Q80" s="98" t="s">
        <v>270</v>
      </c>
      <c r="R80" s="98" t="s">
        <v>269</v>
      </c>
      <c r="S80" s="57">
        <v>185.38512642000001</v>
      </c>
      <c r="T80" s="30">
        <v>0.22871160450000005</v>
      </c>
      <c r="U80" s="30">
        <v>0.72647483040000038</v>
      </c>
      <c r="V80" s="49">
        <v>15000</v>
      </c>
      <c r="W80" s="49">
        <v>30000</v>
      </c>
      <c r="X80" s="48">
        <f t="shared" si="6"/>
        <v>22500</v>
      </c>
      <c r="Y80" s="48">
        <f t="shared" si="7"/>
        <v>98377.168264761116</v>
      </c>
      <c r="Z80" s="48">
        <f t="shared" si="8"/>
        <v>491885.84132380557</v>
      </c>
    </row>
    <row r="81" spans="1:26" s="188" customFormat="1" ht="75" x14ac:dyDescent="0.3">
      <c r="A81" s="187" t="s">
        <v>343</v>
      </c>
      <c r="C81" s="187"/>
      <c r="D81" s="188">
        <v>43.454900000000002</v>
      </c>
      <c r="E81" s="188">
        <v>-71.224999999999994</v>
      </c>
      <c r="F81" s="188" t="s">
        <v>333</v>
      </c>
      <c r="G81" s="189">
        <v>43951</v>
      </c>
      <c r="H81" s="189" t="s">
        <v>249</v>
      </c>
      <c r="I81" s="189" t="s">
        <v>253</v>
      </c>
      <c r="J81" s="189" t="s">
        <v>242</v>
      </c>
      <c r="K81" s="189" t="s">
        <v>256</v>
      </c>
      <c r="L81" s="195" t="s">
        <v>63</v>
      </c>
      <c r="M81" s="196">
        <v>1</v>
      </c>
      <c r="N81" s="187" t="str">
        <f>_xlfn.XLOOKUP($A81,'HW Calcs'!B14:B27,'HW Calcs'!D14:D27)</f>
        <v>MS4 Permit</v>
      </c>
      <c r="O81" s="190" t="str">
        <f>_xlfn.XLOOKUP($A81,'HW Calcs'!$B$14:$B$27,'HW Calcs'!E$14:E$27)</f>
        <v>Outfall from drainage network including Rt 140, Church St, Pine St, School St, and Alton Central School. Minor erosion at School St. Outfall, Sediment accumulation clogging outfall, salting/sanding of road</v>
      </c>
      <c r="P81" s="190" t="str">
        <f>_xlfn.XLOOKUP($A81,'HW Calcs'!$B$14:$B$27,'HW Calcs'!F$14:F$27)</f>
        <v>Pavement reduction on School St, flow-in/flow-out bioswales on Pine St, School St, and Church St, rain garden at Alton Community Church, permeable pavement retrofit, pretreatment and maintenance</v>
      </c>
      <c r="Q81" s="190" t="str">
        <f>_xlfn.XLOOKUP($A81,'HW Calcs'!$B$14:$B$27,'HW Calcs'!G$14:G$27)</f>
        <v>Road / Culvert / Parking Area</v>
      </c>
      <c r="R81" s="190" t="str">
        <f>_xlfn.XLOOKUP($A81,'HW Calcs'!$B$14:$B$27,'HW Calcs'!H$14:H$27)</f>
        <v>Bioswale/ Bioretention; Convert Pavment; Maintenance</v>
      </c>
      <c r="S81" s="191">
        <f>_xlfn.XLOOKUP($A81,'HW Calcs'!$B$14:$B$27,'HW Calcs'!AH$14:AH$27)</f>
        <v>391.06060606060618</v>
      </c>
      <c r="T81" s="192">
        <f>_xlfn.XLOOKUP($A81,'HW Calcs'!$B$14:$B$27,'HW Calcs'!AI$14:AI$27)</f>
        <v>0.15486000000000003</v>
      </c>
      <c r="U81" s="192">
        <f>_xlfn.XLOOKUP($A81,'HW Calcs'!$B$14:$B$27,'HW Calcs'!AJ$14:AJ$27)</f>
        <v>1.4249999999999998</v>
      </c>
      <c r="V81" s="193">
        <f>'HW Calcs'!AO14</f>
        <v>4000</v>
      </c>
      <c r="W81" s="193">
        <f>'HW Calcs'!AP14</f>
        <v>6000</v>
      </c>
      <c r="X81" s="194">
        <f t="shared" si="6"/>
        <v>5000</v>
      </c>
      <c r="Y81" s="194">
        <f t="shared" ref="Y81:Y93" si="9">X81/T81</f>
        <v>32287.227172930383</v>
      </c>
      <c r="Z81" s="194">
        <f t="shared" ref="Z81:Z93" si="10">(X81*M81)/T81</f>
        <v>32287.227172930383</v>
      </c>
    </row>
    <row r="82" spans="1:26" s="188" customFormat="1" x14ac:dyDescent="0.3">
      <c r="A82" s="187" t="s">
        <v>362</v>
      </c>
      <c r="C82" s="187"/>
      <c r="D82" s="188">
        <v>43.456499999999998</v>
      </c>
      <c r="E82" s="188">
        <v>-71.219099999999997</v>
      </c>
      <c r="F82" s="188" t="s">
        <v>333</v>
      </c>
      <c r="G82" s="189">
        <v>43951</v>
      </c>
      <c r="H82" s="189" t="s">
        <v>247</v>
      </c>
      <c r="I82" s="189" t="s">
        <v>254</v>
      </c>
      <c r="J82" s="189" t="s">
        <v>242</v>
      </c>
      <c r="K82" s="189" t="s">
        <v>364</v>
      </c>
      <c r="L82" s="195" t="s">
        <v>82</v>
      </c>
      <c r="M82" s="196">
        <v>5</v>
      </c>
      <c r="N82" s="187">
        <f>_xlfn.XLOOKUP($A82,'HW Calcs'!B15:B28,'HW Calcs'!D15:D28)</f>
        <v>0</v>
      </c>
      <c r="O82" s="190">
        <f>_xlfn.XLOOKUP($A82,'HW Calcs'!$B$14:$B$27,'HW Calcs'!E$14:E$27)</f>
        <v>0</v>
      </c>
      <c r="P82" s="190">
        <f>_xlfn.XLOOKUP($A82,'HW Calcs'!$B$14:$B$27,'HW Calcs'!F$14:F$27)</f>
        <v>0</v>
      </c>
      <c r="Q82" s="190">
        <f>_xlfn.XLOOKUP($A82,'HW Calcs'!$B$14:$B$27,'HW Calcs'!G$14:G$27)</f>
        <v>0</v>
      </c>
      <c r="R82" s="190">
        <f>_xlfn.XLOOKUP($A82,'HW Calcs'!$B$14:$B$27,'HW Calcs'!H$14:H$27)</f>
        <v>0</v>
      </c>
      <c r="S82" s="191">
        <f>_xlfn.XLOOKUP($A82,'HW Calcs'!$B$14:$B$27,'HW Calcs'!AH$14:AH$27)</f>
        <v>0</v>
      </c>
      <c r="T82" s="192">
        <f>_xlfn.XLOOKUP($A82,'HW Calcs'!$B$14:$B$27,'HW Calcs'!AI$14:AI$27)</f>
        <v>0</v>
      </c>
      <c r="U82" s="192">
        <f>_xlfn.XLOOKUP($A82,'HW Calcs'!$B$14:$B$27,'HW Calcs'!AJ$14:AJ$27)</f>
        <v>0</v>
      </c>
      <c r="V82" s="193">
        <f>'HW Calcs'!AO15</f>
        <v>0</v>
      </c>
      <c r="W82" s="193">
        <f>'HW Calcs'!AP15</f>
        <v>0</v>
      </c>
      <c r="X82" s="194">
        <f t="shared" si="6"/>
        <v>0</v>
      </c>
      <c r="Y82" s="194" t="s">
        <v>481</v>
      </c>
      <c r="Z82" s="194" t="s">
        <v>481</v>
      </c>
    </row>
    <row r="83" spans="1:26" s="188" customFormat="1" x14ac:dyDescent="0.3">
      <c r="A83" s="187" t="s">
        <v>363</v>
      </c>
      <c r="C83" s="187"/>
      <c r="D83" s="188">
        <v>43.457700000000003</v>
      </c>
      <c r="E83" s="188">
        <v>-71.223299999999995</v>
      </c>
      <c r="F83" s="188" t="s">
        <v>333</v>
      </c>
      <c r="G83" s="189">
        <v>43951</v>
      </c>
      <c r="H83" s="189" t="s">
        <v>247</v>
      </c>
      <c r="I83" s="189" t="s">
        <v>253</v>
      </c>
      <c r="J83" s="189" t="s">
        <v>242</v>
      </c>
      <c r="K83" s="189" t="s">
        <v>260</v>
      </c>
      <c r="L83" s="195" t="s">
        <v>82</v>
      </c>
      <c r="M83" s="196">
        <v>5</v>
      </c>
      <c r="N83" s="187">
        <f>_xlfn.XLOOKUP($A83,'HW Calcs'!B16:B29,'HW Calcs'!D16:D29)</f>
        <v>0</v>
      </c>
      <c r="O83" s="190" t="str">
        <f>_xlfn.XLOOKUP($A83,'HW Calcs'!$B$14:$B$27,'HW Calcs'!E$14:E$27)</f>
        <v>Profile Bank, runoff managed by retention pond</v>
      </c>
      <c r="P83" s="190">
        <f>_xlfn.XLOOKUP($A83,'HW Calcs'!$B$14:$B$27,'HW Calcs'!F$14:F$27)</f>
        <v>0</v>
      </c>
      <c r="Q83" s="190">
        <f>_xlfn.XLOOKUP($A83,'HW Calcs'!$B$14:$B$27,'HW Calcs'!G$14:G$27)</f>
        <v>0</v>
      </c>
      <c r="R83" s="190">
        <f>_xlfn.XLOOKUP($A83,'HW Calcs'!$B$14:$B$27,'HW Calcs'!H$14:H$27)</f>
        <v>0</v>
      </c>
      <c r="S83" s="191">
        <f>_xlfn.XLOOKUP($A83,'HW Calcs'!$B$14:$B$27,'HW Calcs'!AH$14:AH$27)</f>
        <v>0</v>
      </c>
      <c r="T83" s="192">
        <f>_xlfn.XLOOKUP($A83,'HW Calcs'!$B$14:$B$27,'HW Calcs'!AI$14:AI$27)</f>
        <v>0</v>
      </c>
      <c r="U83" s="192">
        <f>_xlfn.XLOOKUP($A83,'HW Calcs'!$B$14:$B$27,'HW Calcs'!AJ$14:AJ$27)</f>
        <v>0</v>
      </c>
      <c r="V83" s="193">
        <f>'HW Calcs'!AO16</f>
        <v>0</v>
      </c>
      <c r="W83" s="193">
        <f>'HW Calcs'!AP16</f>
        <v>0</v>
      </c>
      <c r="X83" s="194">
        <f t="shared" si="6"/>
        <v>0</v>
      </c>
      <c r="Y83" s="194" t="s">
        <v>481</v>
      </c>
      <c r="Z83" s="194" t="s">
        <v>481</v>
      </c>
    </row>
    <row r="84" spans="1:26" s="188" customFormat="1" ht="75" x14ac:dyDescent="0.3">
      <c r="A84" s="187" t="s">
        <v>344</v>
      </c>
      <c r="C84" s="187"/>
      <c r="D84" s="188">
        <v>43.458599999999997</v>
      </c>
      <c r="E84" s="188">
        <v>-71.223600000000005</v>
      </c>
      <c r="F84" s="188" t="s">
        <v>333</v>
      </c>
      <c r="G84" s="189">
        <v>43951</v>
      </c>
      <c r="H84" s="189" t="s">
        <v>249</v>
      </c>
      <c r="I84" s="189" t="s">
        <v>253</v>
      </c>
      <c r="J84" s="189" t="s">
        <v>242</v>
      </c>
      <c r="K84" s="189" t="s">
        <v>337</v>
      </c>
      <c r="L84" s="195" t="s">
        <v>63</v>
      </c>
      <c r="M84" s="196">
        <v>1</v>
      </c>
      <c r="N84" s="187" t="str">
        <f>_xlfn.XLOOKUP($A84,'HW Calcs'!B17:B30,'HW Calcs'!D17:D30)</f>
        <v>Region 5</v>
      </c>
      <c r="O84" s="190" t="str">
        <f>_xlfn.XLOOKUP($A84,'HW Calcs'!$B$14:$B$27,'HW Calcs'!E$14:E$27)</f>
        <v>No erosion at outfall behind Main St Laundry; gully erosion from surface flow at top of bank behind existing parking lot/stockpile area behind laundromat; loose aggregate parking/storage yard at rear of property</v>
      </c>
      <c r="P84" s="190" t="str">
        <f>_xlfn.XLOOKUP($A84,'HW Calcs'!$B$14:$B$27,'HW Calcs'!F$14:F$27)</f>
        <v>Rain garden with level spreader at point of erosion</v>
      </c>
      <c r="Q84" s="190" t="str">
        <f>_xlfn.XLOOKUP($A84,'HW Calcs'!$B$14:$B$27,'HW Calcs'!G$14:G$27)</f>
        <v>Parking Area</v>
      </c>
      <c r="R84" s="190" t="str">
        <f>_xlfn.XLOOKUP($A84,'HW Calcs'!$B$14:$B$27,'HW Calcs'!H$14:H$27)</f>
        <v>Bioretention</v>
      </c>
      <c r="S84" s="191">
        <f>_xlfn.XLOOKUP($A84,'HW Calcs'!$B$14:$B$27,'HW Calcs'!AH$14:AH$27)</f>
        <v>744.09090909090924</v>
      </c>
      <c r="T84" s="192">
        <f>_xlfn.XLOOKUP($A84,'HW Calcs'!$B$14:$B$27,'HW Calcs'!AI$14:AI$27)</f>
        <v>0.30418000000000001</v>
      </c>
      <c r="U84" s="192">
        <f>_xlfn.XLOOKUP($A84,'HW Calcs'!$B$14:$B$27,'HW Calcs'!AJ$14:AJ$27)</f>
        <v>1.7000000000000002</v>
      </c>
      <c r="V84" s="193">
        <f>'HW Calcs'!AO17</f>
        <v>4000</v>
      </c>
      <c r="W84" s="193">
        <f>'HW Calcs'!AP17</f>
        <v>6000</v>
      </c>
      <c r="X84" s="194">
        <f t="shared" si="6"/>
        <v>5000</v>
      </c>
      <c r="Y84" s="194">
        <f t="shared" si="9"/>
        <v>16437.635610493788</v>
      </c>
      <c r="Z84" s="194">
        <f t="shared" si="10"/>
        <v>16437.635610493788</v>
      </c>
    </row>
    <row r="85" spans="1:26" s="188" customFormat="1" ht="90" x14ac:dyDescent="0.3">
      <c r="A85" s="187" t="s">
        <v>345</v>
      </c>
      <c r="C85" s="187"/>
      <c r="D85" s="188">
        <v>43.459099999999999</v>
      </c>
      <c r="E85" s="188">
        <v>-71.224900000000005</v>
      </c>
      <c r="F85" s="188" t="s">
        <v>333</v>
      </c>
      <c r="G85" s="189">
        <v>43951</v>
      </c>
      <c r="H85" s="189" t="s">
        <v>249</v>
      </c>
      <c r="I85" s="189" t="s">
        <v>253</v>
      </c>
      <c r="J85" s="189" t="s">
        <v>242</v>
      </c>
      <c r="K85" s="189" t="s">
        <v>337</v>
      </c>
      <c r="L85" s="195" t="s">
        <v>63</v>
      </c>
      <c r="M85" s="196">
        <v>1</v>
      </c>
      <c r="N85" s="187" t="str">
        <f>_xlfn.XLOOKUP($A85,'HW Calcs'!B18:B31,'HW Calcs'!D18:D31)</f>
        <v>Region 5</v>
      </c>
      <c r="O85" s="190" t="str">
        <f>_xlfn.XLOOKUP($A85,'HW Calcs'!$B$14:$B$27,'HW Calcs'!E$14:E$27)</f>
        <v>Outfall at 189 Main St; state road runoff bypasses catch basins, overland flow across loose aggregate on homeowner's driveway is eroding; severe channel erosion, washing sediment into swale; swale manages the run-on that reaches it but may have issues with sediment buildup in swale</v>
      </c>
      <c r="P85" s="190" t="str">
        <f>_xlfn.XLOOKUP($A85,'HW Calcs'!$B$14:$B$27,'HW Calcs'!F$14:F$27)</f>
        <v>Bituminious berm at 189 Main St to promote positive drainage into existing catch basin, protect natural drainage conveyance system behind 177 Main St</v>
      </c>
      <c r="Q85" s="190" t="str">
        <f>_xlfn.XLOOKUP($A85,'HW Calcs'!$B$14:$B$27,'HW Calcs'!G$14:G$27)</f>
        <v>Road</v>
      </c>
      <c r="R85" s="190" t="str">
        <f>_xlfn.XLOOKUP($A85,'HW Calcs'!$B$14:$B$27,'HW Calcs'!H$14:H$27)</f>
        <v>Regrade/Berm; Armor Ditches</v>
      </c>
      <c r="S85" s="191">
        <f>_xlfn.XLOOKUP($A85,'HW Calcs'!$B$14:$B$27,'HW Calcs'!AH$14:AH$27)</f>
        <v>1120</v>
      </c>
      <c r="T85" s="192">
        <f>_xlfn.XLOOKUP($A85,'HW Calcs'!$B$14:$B$27,'HW Calcs'!AI$14:AI$27)</f>
        <v>0.48</v>
      </c>
      <c r="U85" s="192">
        <f>_xlfn.XLOOKUP($A85,'HW Calcs'!$B$14:$B$27,'HW Calcs'!AJ$14:AJ$27)</f>
        <v>0.95</v>
      </c>
      <c r="V85" s="193">
        <f>'HW Calcs'!AO18</f>
        <v>1000</v>
      </c>
      <c r="W85" s="193">
        <f>'HW Calcs'!AP18</f>
        <v>2000</v>
      </c>
      <c r="X85" s="194">
        <f t="shared" si="6"/>
        <v>1500</v>
      </c>
      <c r="Y85" s="194">
        <f t="shared" si="9"/>
        <v>3125</v>
      </c>
      <c r="Z85" s="194">
        <f t="shared" si="10"/>
        <v>3125</v>
      </c>
    </row>
    <row r="86" spans="1:26" s="188" customFormat="1" ht="60" x14ac:dyDescent="0.3">
      <c r="A86" s="187" t="s">
        <v>346</v>
      </c>
      <c r="C86" s="187"/>
      <c r="D86" s="188">
        <v>43.459899999999998</v>
      </c>
      <c r="E86" s="188">
        <v>-71.226600000000005</v>
      </c>
      <c r="F86" s="188" t="s">
        <v>333</v>
      </c>
      <c r="G86" s="189">
        <v>43951</v>
      </c>
      <c r="H86" s="189" t="s">
        <v>249</v>
      </c>
      <c r="I86" s="189" t="s">
        <v>253</v>
      </c>
      <c r="J86" s="189" t="s">
        <v>242</v>
      </c>
      <c r="K86" s="189" t="s">
        <v>337</v>
      </c>
      <c r="L86" s="195" t="s">
        <v>63</v>
      </c>
      <c r="M86" s="196">
        <v>1</v>
      </c>
      <c r="N86" s="187" t="str">
        <f>_xlfn.XLOOKUP($A86,'HW Calcs'!B19:B32,'HW Calcs'!D19:D32)</f>
        <v>MS4 Permit</v>
      </c>
      <c r="O86" s="190" t="str">
        <f>_xlfn.XLOOKUP($A86,'HW Calcs'!$B$14:$B$27,'HW Calcs'!E$14:E$27)</f>
        <v>Outfall at 199 Main St; Minor erosion at outfall; Main Street runoff bypasses catch basin, flows over gravel parking area and path, causing erosion and sedimentation</v>
      </c>
      <c r="P86" s="190" t="str">
        <f>_xlfn.XLOOKUP($A86,'HW Calcs'!$B$14:$B$27,'HW Calcs'!F$14:F$27)</f>
        <v>Install roadside rain garden to collect and treat road runoff, promote positive drainage into existing catch basin, permeable pavement retrofit</v>
      </c>
      <c r="Q86" s="190" t="str">
        <f>_xlfn.XLOOKUP($A86,'HW Calcs'!$B$14:$B$27,'HW Calcs'!G$14:G$27)</f>
        <v>Road / Parking Area</v>
      </c>
      <c r="R86" s="190" t="str">
        <f>_xlfn.XLOOKUP($A86,'HW Calcs'!$B$14:$B$27,'HW Calcs'!H$14:H$27)</f>
        <v>Bioretention; Regrade; Permeable Pavement</v>
      </c>
      <c r="S86" s="191">
        <f>_xlfn.XLOOKUP($A86,'HW Calcs'!$B$14:$B$27,'HW Calcs'!AH$14:AH$27)</f>
        <v>364.09090909090918</v>
      </c>
      <c r="T86" s="192">
        <f>_xlfn.XLOOKUP($A86,'HW Calcs'!$B$14:$B$27,'HW Calcs'!AI$14:AI$27)</f>
        <v>0.14418000000000003</v>
      </c>
      <c r="U86" s="192">
        <f>_xlfn.XLOOKUP($A86,'HW Calcs'!$B$14:$B$27,'HW Calcs'!AJ$14:AJ$27)</f>
        <v>1.3800000000000001</v>
      </c>
      <c r="V86" s="193">
        <f>'HW Calcs'!AO19</f>
        <v>4000</v>
      </c>
      <c r="W86" s="193">
        <f>'HW Calcs'!AP19</f>
        <v>6000</v>
      </c>
      <c r="X86" s="194">
        <f t="shared" si="6"/>
        <v>5000</v>
      </c>
      <c r="Y86" s="194">
        <f t="shared" si="9"/>
        <v>34678.873630184484</v>
      </c>
      <c r="Z86" s="194">
        <f t="shared" si="10"/>
        <v>34678.873630184484</v>
      </c>
    </row>
    <row r="87" spans="1:26" s="188" customFormat="1" x14ac:dyDescent="0.3">
      <c r="A87" s="187" t="s">
        <v>359</v>
      </c>
      <c r="C87" s="187"/>
      <c r="D87" s="188">
        <v>43.461599999999997</v>
      </c>
      <c r="E87" s="188">
        <v>-71.227800000000002</v>
      </c>
      <c r="F87" s="188" t="s">
        <v>333</v>
      </c>
      <c r="G87" s="189">
        <v>43951</v>
      </c>
      <c r="H87" s="189" t="s">
        <v>244</v>
      </c>
      <c r="I87" s="189" t="s">
        <v>253</v>
      </c>
      <c r="J87" s="189" t="s">
        <v>242</v>
      </c>
      <c r="K87" s="189" t="s">
        <v>337</v>
      </c>
      <c r="L87" s="195" t="s">
        <v>63</v>
      </c>
      <c r="M87" s="196">
        <v>1</v>
      </c>
      <c r="N87" s="187">
        <f>_xlfn.XLOOKUP($A87,'HW Calcs'!B20:B33,'HW Calcs'!D20:D33)</f>
        <v>0</v>
      </c>
      <c r="O87" s="190" t="str">
        <f>_xlfn.XLOOKUP($A87,'HW Calcs'!$B$14:$B$27,'HW Calcs'!E$14:E$27)</f>
        <v>Outfall at 235 Main St</v>
      </c>
      <c r="P87" s="190">
        <f>_xlfn.XLOOKUP($A87,'HW Calcs'!$B$14:$B$27,'HW Calcs'!F$14:F$27)</f>
        <v>0</v>
      </c>
      <c r="Q87" s="190">
        <f>_xlfn.XLOOKUP($A87,'HW Calcs'!$B$14:$B$27,'HW Calcs'!G$14:G$27)</f>
        <v>0</v>
      </c>
      <c r="R87" s="190">
        <f>_xlfn.XLOOKUP($A87,'HW Calcs'!$B$14:$B$27,'HW Calcs'!H$14:H$27)</f>
        <v>0</v>
      </c>
      <c r="S87" s="191">
        <f>_xlfn.XLOOKUP($A87,'HW Calcs'!$B$14:$B$27,'HW Calcs'!AH$14:AH$27)</f>
        <v>0</v>
      </c>
      <c r="T87" s="192">
        <f>_xlfn.XLOOKUP($A87,'HW Calcs'!$B$14:$B$27,'HW Calcs'!AI$14:AI$27)</f>
        <v>0</v>
      </c>
      <c r="U87" s="192">
        <f>_xlfn.XLOOKUP($A87,'HW Calcs'!$B$14:$B$27,'HW Calcs'!AJ$14:AJ$27)</f>
        <v>0</v>
      </c>
      <c r="V87" s="193">
        <f>'HW Calcs'!AO20</f>
        <v>0</v>
      </c>
      <c r="W87" s="193">
        <f>'HW Calcs'!AP20</f>
        <v>0</v>
      </c>
      <c r="X87" s="194">
        <f t="shared" si="6"/>
        <v>0</v>
      </c>
      <c r="Y87" s="194" t="s">
        <v>481</v>
      </c>
      <c r="Z87" s="194" t="s">
        <v>481</v>
      </c>
    </row>
    <row r="88" spans="1:26" s="188" customFormat="1" x14ac:dyDescent="0.3">
      <c r="A88" s="187" t="s">
        <v>360</v>
      </c>
      <c r="C88" s="187"/>
      <c r="D88" s="188">
        <v>43.462800000000001</v>
      </c>
      <c r="E88" s="188">
        <v>-71.227599999999995</v>
      </c>
      <c r="F88" s="188" t="s">
        <v>333</v>
      </c>
      <c r="G88" s="189">
        <v>43951</v>
      </c>
      <c r="H88" s="189" t="s">
        <v>244</v>
      </c>
      <c r="I88" s="189" t="s">
        <v>253</v>
      </c>
      <c r="J88" s="189" t="s">
        <v>242</v>
      </c>
      <c r="K88" s="189" t="s">
        <v>337</v>
      </c>
      <c r="L88" s="195" t="s">
        <v>63</v>
      </c>
      <c r="M88" s="196">
        <v>1</v>
      </c>
      <c r="N88" s="187">
        <f>_xlfn.XLOOKUP($A88,'HW Calcs'!B21:B34,'HW Calcs'!D21:D34)</f>
        <v>0</v>
      </c>
      <c r="O88" s="190" t="str">
        <f>_xlfn.XLOOKUP($A88,'HW Calcs'!$B$14:$B$27,'HW Calcs'!E$14:E$27)</f>
        <v>Outfall along Main St</v>
      </c>
      <c r="P88" s="190">
        <f>_xlfn.XLOOKUP($A88,'HW Calcs'!$B$14:$B$27,'HW Calcs'!F$14:F$27)</f>
        <v>0</v>
      </c>
      <c r="Q88" s="190">
        <f>_xlfn.XLOOKUP($A88,'HW Calcs'!$B$14:$B$27,'HW Calcs'!G$14:G$27)</f>
        <v>0</v>
      </c>
      <c r="R88" s="190">
        <f>_xlfn.XLOOKUP($A88,'HW Calcs'!$B$14:$B$27,'HW Calcs'!H$14:H$27)</f>
        <v>0</v>
      </c>
      <c r="S88" s="191">
        <f>_xlfn.XLOOKUP($A88,'HW Calcs'!$B$14:$B$27,'HW Calcs'!AH$14:AH$27)</f>
        <v>0</v>
      </c>
      <c r="T88" s="192">
        <f>_xlfn.XLOOKUP($A88,'HW Calcs'!$B$14:$B$27,'HW Calcs'!AI$14:AI$27)</f>
        <v>0</v>
      </c>
      <c r="U88" s="192">
        <f>_xlfn.XLOOKUP($A88,'HW Calcs'!$B$14:$B$27,'HW Calcs'!AJ$14:AJ$27)</f>
        <v>0</v>
      </c>
      <c r="V88" s="193">
        <f>'HW Calcs'!AO21</f>
        <v>0</v>
      </c>
      <c r="W88" s="193">
        <f>'HW Calcs'!AP21</f>
        <v>0</v>
      </c>
      <c r="X88" s="194">
        <f t="shared" si="6"/>
        <v>0</v>
      </c>
      <c r="Y88" s="194" t="s">
        <v>481</v>
      </c>
      <c r="Z88" s="194" t="s">
        <v>481</v>
      </c>
    </row>
    <row r="89" spans="1:26" s="188" customFormat="1" x14ac:dyDescent="0.3">
      <c r="A89" s="187" t="s">
        <v>361</v>
      </c>
      <c r="C89" s="187"/>
      <c r="D89" s="188">
        <v>43.464300000000001</v>
      </c>
      <c r="E89" s="188">
        <v>-71.228899999999996</v>
      </c>
      <c r="F89" s="188" t="s">
        <v>333</v>
      </c>
      <c r="G89" s="189">
        <v>43951</v>
      </c>
      <c r="H89" s="189" t="s">
        <v>244</v>
      </c>
      <c r="I89" s="189" t="s">
        <v>253</v>
      </c>
      <c r="J89" s="189" t="s">
        <v>242</v>
      </c>
      <c r="K89" s="189" t="s">
        <v>337</v>
      </c>
      <c r="L89" s="195" t="s">
        <v>63</v>
      </c>
      <c r="M89" s="196">
        <v>1</v>
      </c>
      <c r="N89" s="187">
        <f>_xlfn.XLOOKUP($A89,'HW Calcs'!B22:B35,'HW Calcs'!D22:D35)</f>
        <v>0</v>
      </c>
      <c r="O89" s="190" t="str">
        <f>_xlfn.XLOOKUP($A89,'HW Calcs'!$B$14:$B$27,'HW Calcs'!E$14:E$27)</f>
        <v>Outfall along Main St</v>
      </c>
      <c r="P89" s="190">
        <f>_xlfn.XLOOKUP($A89,'HW Calcs'!$B$14:$B$27,'HW Calcs'!F$14:F$27)</f>
        <v>0</v>
      </c>
      <c r="Q89" s="190">
        <f>_xlfn.XLOOKUP($A89,'HW Calcs'!$B$14:$B$27,'HW Calcs'!G$14:G$27)</f>
        <v>0</v>
      </c>
      <c r="R89" s="190">
        <f>_xlfn.XLOOKUP($A89,'HW Calcs'!$B$14:$B$27,'HW Calcs'!H$14:H$27)</f>
        <v>0</v>
      </c>
      <c r="S89" s="191">
        <f>_xlfn.XLOOKUP($A89,'HW Calcs'!$B$14:$B$27,'HW Calcs'!AH$14:AH$27)</f>
        <v>0</v>
      </c>
      <c r="T89" s="192">
        <f>_xlfn.XLOOKUP($A89,'HW Calcs'!$B$14:$B$27,'HW Calcs'!AI$14:AI$27)</f>
        <v>0</v>
      </c>
      <c r="U89" s="192">
        <f>_xlfn.XLOOKUP($A89,'HW Calcs'!$B$14:$B$27,'HW Calcs'!AJ$14:AJ$27)</f>
        <v>0</v>
      </c>
      <c r="V89" s="193">
        <f>'HW Calcs'!AO22</f>
        <v>0</v>
      </c>
      <c r="W89" s="193">
        <f>'HW Calcs'!AP22</f>
        <v>0</v>
      </c>
      <c r="X89" s="194">
        <f t="shared" si="6"/>
        <v>0</v>
      </c>
      <c r="Y89" s="194" t="s">
        <v>481</v>
      </c>
      <c r="Z89" s="194" t="s">
        <v>481</v>
      </c>
    </row>
    <row r="90" spans="1:26" s="188" customFormat="1" ht="60" x14ac:dyDescent="0.3">
      <c r="A90" s="187" t="s">
        <v>347</v>
      </c>
      <c r="C90" s="187"/>
      <c r="D90" s="188">
        <v>43.454700000000003</v>
      </c>
      <c r="E90" s="188">
        <v>-71.227099999999993</v>
      </c>
      <c r="F90" s="188" t="s">
        <v>333</v>
      </c>
      <c r="G90" s="189">
        <v>43951</v>
      </c>
      <c r="H90" s="189" t="s">
        <v>249</v>
      </c>
      <c r="I90" s="189" t="s">
        <v>253</v>
      </c>
      <c r="J90" s="189" t="s">
        <v>242</v>
      </c>
      <c r="K90" s="189" t="s">
        <v>258</v>
      </c>
      <c r="L90" s="195" t="s">
        <v>63</v>
      </c>
      <c r="M90" s="196">
        <v>1</v>
      </c>
      <c r="N90" s="187">
        <f>_xlfn.XLOOKUP($A90,'HW Calcs'!B23:B36,'HW Calcs'!D23:D36)</f>
        <v>0</v>
      </c>
      <c r="O90" s="190" t="str">
        <f>_xlfn.XLOOKUP($A90,'HW Calcs'!$B$14:$B$27,'HW Calcs'!E$14:E$27)</f>
        <v>Outfall at Rt 140, untreated road runoff, direct discharge from culvert, sediment accumulation clogging culverts, lack of routine maintenance, salting/sanding of roadway</v>
      </c>
      <c r="P90" s="190" t="str">
        <f>_xlfn.XLOOKUP($A90,'HW Calcs'!$B$14:$B$27,'HW Calcs'!F$14:F$27)</f>
        <v>Formalize basin and sediment trap within landscape island at Letter S Road, perform routine maintenance</v>
      </c>
      <c r="Q90" s="190" t="str">
        <f>_xlfn.XLOOKUP($A90,'HW Calcs'!$B$14:$B$27,'HW Calcs'!G$14:G$27)</f>
        <v>Road</v>
      </c>
      <c r="R90" s="190" t="str">
        <f>_xlfn.XLOOKUP($A90,'HW Calcs'!$B$14:$B$27,'HW Calcs'!H$14:H$27)</f>
        <v>Settling basin maintenance</v>
      </c>
      <c r="S90" s="191">
        <f>_xlfn.XLOOKUP($A90,'HW Calcs'!$B$14:$B$27,'HW Calcs'!AH$14:AH$27)</f>
        <v>0</v>
      </c>
      <c r="T90" s="192">
        <f>_xlfn.XLOOKUP($A90,'HW Calcs'!$B$14:$B$27,'HW Calcs'!AI$14:AI$27)</f>
        <v>0</v>
      </c>
      <c r="U90" s="192">
        <f>_xlfn.XLOOKUP($A90,'HW Calcs'!$B$14:$B$27,'HW Calcs'!AJ$14:AJ$27)</f>
        <v>0</v>
      </c>
      <c r="V90" s="193">
        <f>'HW Calcs'!AO23</f>
        <v>0</v>
      </c>
      <c r="W90" s="193">
        <f>'HW Calcs'!AP23</f>
        <v>0</v>
      </c>
      <c r="X90" s="194">
        <f t="shared" si="6"/>
        <v>0</v>
      </c>
      <c r="Y90" s="194" t="s">
        <v>481</v>
      </c>
      <c r="Z90" s="194" t="s">
        <v>481</v>
      </c>
    </row>
    <row r="91" spans="1:26" s="188" customFormat="1" ht="60" x14ac:dyDescent="0.3">
      <c r="A91" s="187" t="s">
        <v>348</v>
      </c>
      <c r="C91" s="187"/>
      <c r="D91" s="188">
        <v>43.454799999999999</v>
      </c>
      <c r="E91" s="188">
        <v>-71.225399999999993</v>
      </c>
      <c r="F91" s="188" t="s">
        <v>333</v>
      </c>
      <c r="G91" s="189">
        <v>43951</v>
      </c>
      <c r="H91" s="189" t="s">
        <v>249</v>
      </c>
      <c r="I91" s="189" t="s">
        <v>253</v>
      </c>
      <c r="J91" s="189" t="s">
        <v>242</v>
      </c>
      <c r="K91" s="189" t="s">
        <v>337</v>
      </c>
      <c r="L91" s="195" t="s">
        <v>63</v>
      </c>
      <c r="M91" s="196">
        <v>1</v>
      </c>
      <c r="N91" s="187">
        <f>_xlfn.XLOOKUP($A91,'HW Calcs'!B24:B37,'HW Calcs'!D24:D37)</f>
        <v>0</v>
      </c>
      <c r="O91" s="190" t="str">
        <f>_xlfn.XLOOKUP($A91,'HW Calcs'!$B$14:$B$27,'HW Calcs'!E$14:E$27)</f>
        <v>Outfall at 55 Rt 140, untreated road runoff, direct discharge from culvert, sediment accumulation clogging culverts, lack of routine maintenance, salting/sanding of roadway</v>
      </c>
      <c r="P91" s="190" t="str">
        <f>_xlfn.XLOOKUP($A91,'HW Calcs'!$B$14:$B$27,'HW Calcs'!F$14:F$27)</f>
        <v>Formalize roadside swale into settling basin, pretreatment to prevent pollutant transport through culvert, perform routine maintenance</v>
      </c>
      <c r="Q91" s="190" t="str">
        <f>_xlfn.XLOOKUP($A91,'HW Calcs'!$B$14:$B$27,'HW Calcs'!G$14:G$27)</f>
        <v>Road</v>
      </c>
      <c r="R91" s="190" t="str">
        <f>_xlfn.XLOOKUP($A91,'HW Calcs'!$B$14:$B$27,'HW Calcs'!H$14:H$27)</f>
        <v>Settling Basin; Forebay; Mainteance</v>
      </c>
      <c r="S91" s="191">
        <f>_xlfn.XLOOKUP($A91,'HW Calcs'!$B$14:$B$27,'HW Calcs'!AH$14:AH$27)</f>
        <v>0</v>
      </c>
      <c r="T91" s="192">
        <f>_xlfn.XLOOKUP($A91,'HW Calcs'!$B$14:$B$27,'HW Calcs'!AI$14:AI$27)</f>
        <v>0</v>
      </c>
      <c r="U91" s="192">
        <f>_xlfn.XLOOKUP($A91,'HW Calcs'!$B$14:$B$27,'HW Calcs'!AJ$14:AJ$27)</f>
        <v>0</v>
      </c>
      <c r="V91" s="193">
        <f>'HW Calcs'!AO24</f>
        <v>0</v>
      </c>
      <c r="W91" s="193">
        <f>'HW Calcs'!AP24</f>
        <v>0</v>
      </c>
      <c r="X91" s="194">
        <f t="shared" si="6"/>
        <v>0</v>
      </c>
      <c r="Y91" s="194" t="s">
        <v>481</v>
      </c>
      <c r="Z91" s="194" t="s">
        <v>481</v>
      </c>
    </row>
    <row r="92" spans="1:26" s="188" customFormat="1" ht="135" x14ac:dyDescent="0.3">
      <c r="A92" s="187" t="s">
        <v>349</v>
      </c>
      <c r="C92" s="187"/>
      <c r="D92" s="188">
        <v>43.459200000000003</v>
      </c>
      <c r="E92" s="188">
        <v>-71.228700000000003</v>
      </c>
      <c r="F92" s="188" t="s">
        <v>333</v>
      </c>
      <c r="G92" s="189">
        <v>43951</v>
      </c>
      <c r="H92" s="189" t="s">
        <v>249</v>
      </c>
      <c r="I92" s="189" t="s">
        <v>253</v>
      </c>
      <c r="J92" s="189" t="s">
        <v>242</v>
      </c>
      <c r="K92" s="189" t="s">
        <v>256</v>
      </c>
      <c r="L92" s="195" t="s">
        <v>63</v>
      </c>
      <c r="M92" s="196">
        <v>1</v>
      </c>
      <c r="N92" s="187" t="str">
        <f>_xlfn.XLOOKUP($A92,'HW Calcs'!B25:B38,'HW Calcs'!D25:D38)</f>
        <v>MS4 Permit</v>
      </c>
      <c r="O92" s="190" t="str">
        <f>_xlfn.XLOOKUP($A92,'HW Calcs'!$B$14:$B$27,'HW Calcs'!E$14:E$27)</f>
        <v>Letter S Road and Highway department facilities, loose aggregate parking areas, storage of equipment and materials within shoreland buffer, lack of stormwater controls, lack of defined input source to implement stormwater controls</v>
      </c>
      <c r="P92" s="190" t="str">
        <f>_xlfn.XLOOKUP($A92,'HW Calcs'!$B$14:$B$27,'HW Calcs'!F$14:F$27)</f>
        <v>Permeable pavement retrofit, stormwater controls to prevent/minimize undefined input points, restore shoreline along Letter S Road (East), define parking/fishing spots to minimize adverse human impacts, bioretention basin at Alton Highway Facilities with pretreatment and sizing capacity for water quality volume at existing low point, perform routine maintenance</v>
      </c>
      <c r="Q92" s="190" t="str">
        <f>_xlfn.XLOOKUP($A92,'HW Calcs'!$B$14:$B$27,'HW Calcs'!G$14:G$27)</f>
        <v>Road / Parking Area</v>
      </c>
      <c r="R92" s="190" t="str">
        <f>_xlfn.XLOOKUP($A92,'HW Calcs'!$B$14:$B$27,'HW Calcs'!H$14:H$27)</f>
        <v>Permeable Pavement; Stabilize Bank; Formalize Parking; Maintenance</v>
      </c>
      <c r="S92" s="191">
        <f>_xlfn.XLOOKUP($A92,'HW Calcs'!$B$14:$B$27,'HW Calcs'!AH$14:AH$27)</f>
        <v>364.09090909090918</v>
      </c>
      <c r="T92" s="192">
        <f>_xlfn.XLOOKUP($A92,'HW Calcs'!$B$14:$B$27,'HW Calcs'!AI$14:AI$27)</f>
        <v>0.14418000000000003</v>
      </c>
      <c r="U92" s="192">
        <f>_xlfn.XLOOKUP($A92,'HW Calcs'!$B$14:$B$27,'HW Calcs'!AJ$14:AJ$27)</f>
        <v>1.4249999999999998</v>
      </c>
      <c r="V92" s="193">
        <f>'HW Calcs'!AO25</f>
        <v>5000</v>
      </c>
      <c r="W92" s="193">
        <f>'HW Calcs'!AP25</f>
        <v>7000</v>
      </c>
      <c r="X92" s="194">
        <f t="shared" si="6"/>
        <v>6000</v>
      </c>
      <c r="Y92" s="194">
        <f t="shared" si="9"/>
        <v>41614.648356221383</v>
      </c>
      <c r="Z92" s="194">
        <f t="shared" si="10"/>
        <v>41614.648356221383</v>
      </c>
    </row>
    <row r="93" spans="1:26" s="188" customFormat="1" ht="45" x14ac:dyDescent="0.3">
      <c r="A93" s="187" t="s">
        <v>350</v>
      </c>
      <c r="C93" s="187"/>
      <c r="D93" s="188">
        <v>43.456499999999998</v>
      </c>
      <c r="E93" s="188">
        <v>-71.223699999999994</v>
      </c>
      <c r="F93" s="188" t="s">
        <v>333</v>
      </c>
      <c r="G93" s="189">
        <v>43951</v>
      </c>
      <c r="H93" s="189" t="s">
        <v>249</v>
      </c>
      <c r="I93" s="188" t="s">
        <v>254</v>
      </c>
      <c r="J93" s="188" t="s">
        <v>242</v>
      </c>
      <c r="K93" s="188" t="s">
        <v>261</v>
      </c>
      <c r="L93" s="195" t="s">
        <v>63</v>
      </c>
      <c r="M93" s="196">
        <v>1</v>
      </c>
      <c r="N93" s="187" t="str">
        <f>_xlfn.XLOOKUP($A93,'HW Calcs'!B26:B39,'HW Calcs'!D26:D39)</f>
        <v>MS4 Permit</v>
      </c>
      <c r="O93" s="190" t="str">
        <f>_xlfn.XLOOKUP($A93,'HW Calcs'!$B$14:$B$27,'HW Calcs'!E$14:E$27)</f>
        <v>3 Hutchins Circle, road runoff flows down loose aggregate driveway, minor bank erosion</v>
      </c>
      <c r="P93" s="190" t="str">
        <f>_xlfn.XLOOKUP($A93,'HW Calcs'!$B$14:$B$27,'HW Calcs'!F$14:F$27)</f>
        <v>Control road runoff on Mooney St and Hutchins Circle to prevent road runoff from eroding driveways/private property</v>
      </c>
      <c r="Q93" s="190" t="str">
        <f>_xlfn.XLOOKUP($A93,'HW Calcs'!$B$14:$B$27,'HW Calcs'!G$14:G$27)</f>
        <v>Road / Driveway</v>
      </c>
      <c r="R93" s="190" t="str">
        <f>_xlfn.XLOOKUP($A93,'HW Calcs'!$B$14:$B$27,'HW Calcs'!H$14:H$27)</f>
        <v>Drain Network</v>
      </c>
      <c r="S93" s="191">
        <f>_xlfn.XLOOKUP($A93,'HW Calcs'!$B$14:$B$27,'HW Calcs'!AH$14:AH$27)</f>
        <v>391.06060606060618</v>
      </c>
      <c r="T93" s="192">
        <f>_xlfn.XLOOKUP($A93,'HW Calcs'!$B$14:$B$27,'HW Calcs'!AI$14:AI$27)</f>
        <v>0.15486000000000003</v>
      </c>
      <c r="U93" s="192">
        <f>_xlfn.XLOOKUP($A93,'HW Calcs'!$B$14:$B$27,'HW Calcs'!AJ$14:AJ$27)</f>
        <v>1.4249999999999998</v>
      </c>
      <c r="V93" s="193">
        <f>'HW Calcs'!AO26</f>
        <v>4000</v>
      </c>
      <c r="W93" s="193">
        <f>'HW Calcs'!AP26</f>
        <v>6000</v>
      </c>
      <c r="X93" s="194">
        <f t="shared" si="6"/>
        <v>5000</v>
      </c>
      <c r="Y93" s="194">
        <f t="shared" si="9"/>
        <v>32287.227172930383</v>
      </c>
      <c r="Z93" s="194">
        <f t="shared" si="10"/>
        <v>32287.227172930383</v>
      </c>
    </row>
    <row r="94" spans="1:26" s="188" customFormat="1" x14ac:dyDescent="0.3">
      <c r="A94" s="187" t="s">
        <v>351</v>
      </c>
      <c r="C94" s="187"/>
      <c r="D94" s="188">
        <v>43.451099999999997</v>
      </c>
      <c r="E94" s="188">
        <v>-71.223600000000005</v>
      </c>
      <c r="F94" s="188" t="s">
        <v>333</v>
      </c>
      <c r="G94" s="189">
        <v>43951</v>
      </c>
      <c r="H94" s="189" t="s">
        <v>244</v>
      </c>
      <c r="I94" s="188" t="s">
        <v>253</v>
      </c>
      <c r="J94" s="188" t="s">
        <v>242</v>
      </c>
      <c r="K94" s="188" t="s">
        <v>236</v>
      </c>
      <c r="L94" s="195" t="s">
        <v>63</v>
      </c>
      <c r="M94" s="196">
        <v>1</v>
      </c>
      <c r="N94" s="187">
        <f>_xlfn.XLOOKUP($A94,'HW Calcs'!B27:B40,'HW Calcs'!D27:D40)</f>
        <v>0</v>
      </c>
      <c r="O94" s="190">
        <f>_xlfn.XLOOKUP($A94,'HW Calcs'!$B$14:$B$27,'HW Calcs'!E$14:E$27)</f>
        <v>0</v>
      </c>
      <c r="P94" s="190">
        <f>_xlfn.XLOOKUP($A94,'HW Calcs'!$B$14:$B$27,'HW Calcs'!F$14:F$27)</f>
        <v>0</v>
      </c>
      <c r="Q94" s="190">
        <f>_xlfn.XLOOKUP($A94,'HW Calcs'!$B$14:$B$27,'HW Calcs'!G$14:G$27)</f>
        <v>0</v>
      </c>
      <c r="R94" s="190">
        <f>_xlfn.XLOOKUP($A94,'HW Calcs'!$B$14:$B$27,'HW Calcs'!H$14:H$27)</f>
        <v>0</v>
      </c>
      <c r="S94" s="191">
        <f>_xlfn.XLOOKUP($A94,'HW Calcs'!$B$14:$B$27,'HW Calcs'!AH$14:AH$27)</f>
        <v>0</v>
      </c>
      <c r="T94" s="192">
        <f>_xlfn.XLOOKUP($A94,'HW Calcs'!$B$14:$B$27,'HW Calcs'!AI$14:AI$27)</f>
        <v>0</v>
      </c>
      <c r="U94" s="192">
        <f>_xlfn.XLOOKUP($A94,'HW Calcs'!$B$14:$B$27,'HW Calcs'!AJ$14:AJ$27)</f>
        <v>0</v>
      </c>
      <c r="V94" s="193">
        <f>'HW Calcs'!AO27</f>
        <v>0</v>
      </c>
      <c r="W94" s="193">
        <f>'HW Calcs'!AP27</f>
        <v>0</v>
      </c>
      <c r="X94" s="194">
        <f t="shared" si="6"/>
        <v>0</v>
      </c>
      <c r="Y94" s="194" t="s">
        <v>481</v>
      </c>
      <c r="Z94" s="194" t="s">
        <v>481</v>
      </c>
    </row>
    <row r="95" spans="1:26" ht="15.6" thickBot="1" x14ac:dyDescent="0.35">
      <c r="A95" s="8"/>
    </row>
    <row r="96" spans="1:26" ht="15.6" thickBot="1" x14ac:dyDescent="0.35">
      <c r="A96" s="1"/>
      <c r="B96" s="6"/>
      <c r="P96" s="44" t="s">
        <v>213</v>
      </c>
      <c r="Q96" s="65"/>
      <c r="R96" s="65"/>
      <c r="S96" s="58">
        <f>SUM(S3:S94)</f>
        <v>67640.577900918652</v>
      </c>
      <c r="T96" s="45">
        <f>SUM(T3:T94)</f>
        <v>57.491051604623003</v>
      </c>
      <c r="U96" s="45">
        <f>SUM(U3:U94)</f>
        <v>140.62507625442564</v>
      </c>
      <c r="V96" s="61">
        <f>SUM(V3:V94)</f>
        <v>1294000</v>
      </c>
      <c r="W96" s="62">
        <f>SUM(W3:W94)</f>
        <v>2373000</v>
      </c>
    </row>
    <row r="97" spans="1:23" x14ac:dyDescent="0.3">
      <c r="A97" s="1"/>
      <c r="S97" s="59">
        <f>S96/2000</f>
        <v>33.820288950459329</v>
      </c>
      <c r="T97" s="46">
        <f>T96*0.453592</f>
        <v>26.077481079444158</v>
      </c>
      <c r="U97" s="46">
        <f>U96*0.453592</f>
        <v>63.786409588397433</v>
      </c>
    </row>
    <row r="98" spans="1:23" x14ac:dyDescent="0.3">
      <c r="A98" s="1"/>
      <c r="E98" s="97"/>
      <c r="S98" s="54" t="s">
        <v>288</v>
      </c>
      <c r="T98" s="28" t="s">
        <v>226</v>
      </c>
      <c r="U98" s="28" t="s">
        <v>226</v>
      </c>
    </row>
    <row r="99" spans="1:23" x14ac:dyDescent="0.3">
      <c r="A99" s="1"/>
      <c r="E99" s="97"/>
    </row>
    <row r="100" spans="1:23" x14ac:dyDescent="0.3">
      <c r="A100" s="1"/>
      <c r="V100" s="47">
        <f>V96-260000</f>
        <v>1034000</v>
      </c>
      <c r="W100" s="47">
        <f>W96-410000</f>
        <v>1963000</v>
      </c>
    </row>
    <row r="101" spans="1:23" x14ac:dyDescent="0.3">
      <c r="A101" s="1"/>
    </row>
    <row r="102" spans="1:23" x14ac:dyDescent="0.3">
      <c r="A102" s="1"/>
    </row>
    <row r="103" spans="1:23" x14ac:dyDescent="0.3">
      <c r="A103" s="1"/>
    </row>
    <row r="104" spans="1:23" x14ac:dyDescent="0.3">
      <c r="A104" s="1"/>
    </row>
    <row r="105" spans="1:23" x14ac:dyDescent="0.3">
      <c r="A105" s="1"/>
    </row>
    <row r="106" spans="1:23" x14ac:dyDescent="0.3">
      <c r="A106" s="1"/>
    </row>
    <row r="107" spans="1:23" x14ac:dyDescent="0.3">
      <c r="A107" s="1"/>
    </row>
    <row r="108" spans="1:23" x14ac:dyDescent="0.3">
      <c r="A108" s="1"/>
    </row>
    <row r="109" spans="1:23" x14ac:dyDescent="0.3">
      <c r="A109" s="1"/>
    </row>
    <row r="110" spans="1:23" x14ac:dyDescent="0.3">
      <c r="A110" s="1"/>
    </row>
  </sheetData>
  <autoFilter ref="A2:Z80" xr:uid="{134BDF87-287D-4A07-A519-3B478BFFC3D3}">
    <sortState xmlns:xlrd2="http://schemas.microsoft.com/office/spreadsheetml/2017/richdata2" ref="A3:Z80">
      <sortCondition ref="Z2:Z80"/>
    </sortState>
  </autoFilter>
  <sortState xmlns:xlrd2="http://schemas.microsoft.com/office/spreadsheetml/2017/richdata2" ref="A21:Z68">
    <sortCondition ref="Z21:Z68"/>
  </sortState>
  <mergeCells count="1">
    <mergeCell ref="A1:Z1"/>
  </mergeCells>
  <phoneticPr fontId="9" type="noConversion"/>
  <pageMargins left="0.7" right="0.7" top="0.75" bottom="0.75" header="0.3" footer="0.3"/>
  <pageSetup scale="60" fitToHeight="0"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106BA-96A7-4605-BA5D-77F0AC68C10D}">
  <dimension ref="A1:AP27"/>
  <sheetViews>
    <sheetView topLeftCell="AC12" zoomScale="85" zoomScaleNormal="85" workbookViewId="0">
      <selection activeCell="A23" sqref="A23:XFD23"/>
    </sheetView>
  </sheetViews>
  <sheetFormatPr defaultColWidth="9.21875" defaultRowHeight="14.4" x14ac:dyDescent="0.3"/>
  <cols>
    <col min="1" max="2" width="9.21875" style="116"/>
    <col min="3" max="3" width="12.44140625" style="114" customWidth="1"/>
    <col min="4" max="4" width="9.21875" style="114"/>
    <col min="5" max="5" width="55.77734375" style="116" customWidth="1"/>
    <col min="6" max="6" width="37" style="116" customWidth="1"/>
    <col min="7" max="7" width="20.44140625" style="117" customWidth="1"/>
    <col min="8" max="8" width="19.77734375" style="117" customWidth="1"/>
    <col min="9" max="9" width="18.77734375" style="116" customWidth="1"/>
    <col min="10" max="10" width="18.77734375" style="117" customWidth="1"/>
    <col min="11" max="11" width="12.21875" style="117" customWidth="1"/>
    <col min="12" max="12" width="11.44140625" style="117" customWidth="1"/>
    <col min="13" max="13" width="8.5546875" style="117" customWidth="1"/>
    <col min="14" max="14" width="10" style="117" customWidth="1"/>
    <col min="15" max="15" width="8.5546875" style="117" customWidth="1"/>
    <col min="16" max="18" width="18.77734375" style="117" customWidth="1"/>
    <col min="19" max="19" width="14.44140625" style="116" customWidth="1"/>
    <col min="20" max="20" width="18" style="116" customWidth="1"/>
    <col min="21" max="24" width="18.77734375" style="116" customWidth="1"/>
    <col min="25" max="25" width="14.5546875" style="116" customWidth="1"/>
    <col min="26" max="26" width="13.77734375" style="116" customWidth="1"/>
    <col min="27" max="27" width="12.5546875" style="116" customWidth="1"/>
    <col min="28" max="28" width="12.21875" style="116" customWidth="1"/>
    <col min="29" max="29" width="14" style="116" customWidth="1"/>
    <col min="30" max="33" width="16.44140625" style="116" customWidth="1"/>
    <col min="34" max="34" width="11.21875" style="116" customWidth="1"/>
    <col min="35" max="35" width="11" style="116" customWidth="1"/>
    <col min="36" max="36" width="11.44140625" style="116" customWidth="1"/>
    <col min="37" max="37" width="17.77734375" style="116" customWidth="1"/>
    <col min="38" max="38" width="16.77734375" style="116" customWidth="1"/>
    <col min="39" max="39" width="9.21875" style="116"/>
    <col min="40" max="41" width="10.77734375" style="116" customWidth="1"/>
    <col min="42" max="42" width="10.5546875" style="116" bestFit="1" customWidth="1"/>
    <col min="43" max="16384" width="9.21875" style="116"/>
  </cols>
  <sheetData>
    <row r="1" spans="1:42" ht="18" x14ac:dyDescent="0.35">
      <c r="A1" s="178" t="s">
        <v>416</v>
      </c>
      <c r="Y1" s="118"/>
      <c r="Z1" s="118"/>
    </row>
    <row r="2" spans="1:42" ht="15" thickBot="1" x14ac:dyDescent="0.35">
      <c r="Y2" s="118"/>
      <c r="Z2" s="118"/>
      <c r="AA2" s="118"/>
      <c r="AB2" s="118"/>
      <c r="AC2" s="118"/>
      <c r="AD2" s="118"/>
      <c r="AE2" s="118"/>
      <c r="AF2" s="119"/>
      <c r="AG2" s="118"/>
    </row>
    <row r="3" spans="1:42" x14ac:dyDescent="0.3">
      <c r="A3" s="169" t="s">
        <v>413</v>
      </c>
      <c r="B3" s="152"/>
      <c r="C3" s="170"/>
      <c r="D3" s="170"/>
      <c r="E3" s="152"/>
      <c r="F3" s="152"/>
      <c r="G3" s="157"/>
      <c r="H3" s="157"/>
      <c r="I3" s="152"/>
      <c r="J3" s="157"/>
      <c r="K3" s="249"/>
      <c r="Y3" s="118"/>
      <c r="Z3" s="118"/>
      <c r="AA3" s="118"/>
      <c r="AB3" s="118"/>
      <c r="AC3" s="118"/>
      <c r="AD3" s="118"/>
      <c r="AE3" s="118"/>
      <c r="AF3" s="119"/>
      <c r="AG3" s="118"/>
    </row>
    <row r="4" spans="1:42" x14ac:dyDescent="0.3">
      <c r="A4" s="171" t="s">
        <v>411</v>
      </c>
      <c r="K4" s="250"/>
      <c r="Y4" s="118"/>
      <c r="Z4" s="118"/>
      <c r="AA4" s="118"/>
      <c r="AB4" s="118"/>
      <c r="AC4" s="118"/>
      <c r="AD4" s="118"/>
      <c r="AE4" s="118"/>
      <c r="AF4" s="119"/>
      <c r="AG4" s="118"/>
    </row>
    <row r="5" spans="1:42" x14ac:dyDescent="0.3">
      <c r="A5" s="171"/>
      <c r="B5" s="115" t="s">
        <v>432</v>
      </c>
      <c r="K5" s="250"/>
      <c r="Y5" s="118"/>
      <c r="Z5" s="118"/>
      <c r="AA5" s="118"/>
      <c r="AB5" s="118"/>
      <c r="AC5" s="118"/>
      <c r="AD5" s="118"/>
      <c r="AE5" s="118"/>
      <c r="AF5" s="119"/>
      <c r="AG5" s="118"/>
    </row>
    <row r="6" spans="1:42" x14ac:dyDescent="0.3">
      <c r="A6" s="171" t="s">
        <v>412</v>
      </c>
      <c r="K6" s="250"/>
      <c r="Y6" s="118"/>
      <c r="Z6" s="118"/>
      <c r="AA6" s="118"/>
      <c r="AB6" s="118"/>
      <c r="AC6" s="118"/>
      <c r="AD6" s="118"/>
      <c r="AE6" s="118"/>
      <c r="AF6" s="119"/>
      <c r="AG6" s="118"/>
    </row>
    <row r="7" spans="1:42" x14ac:dyDescent="0.3">
      <c r="A7" s="172"/>
      <c r="B7" s="115" t="s">
        <v>414</v>
      </c>
      <c r="K7" s="250"/>
      <c r="Y7" s="118"/>
      <c r="Z7" s="118"/>
      <c r="AA7" s="118"/>
      <c r="AB7" s="118"/>
      <c r="AC7" s="118"/>
      <c r="AD7" s="118"/>
      <c r="AE7" s="118"/>
      <c r="AF7" s="119"/>
      <c r="AG7" s="118"/>
    </row>
    <row r="8" spans="1:42" x14ac:dyDescent="0.3">
      <c r="A8" s="171" t="s">
        <v>415</v>
      </c>
      <c r="B8" s="115"/>
      <c r="K8" s="250"/>
      <c r="Y8" s="118"/>
      <c r="Z8" s="118"/>
      <c r="AA8" s="118"/>
      <c r="AB8" s="118"/>
      <c r="AC8" s="118"/>
      <c r="AD8" s="118"/>
      <c r="AE8" s="118"/>
      <c r="AF8" s="119"/>
      <c r="AG8" s="118"/>
    </row>
    <row r="9" spans="1:42" x14ac:dyDescent="0.3">
      <c r="A9" s="171" t="s">
        <v>478</v>
      </c>
      <c r="B9" s="115"/>
      <c r="K9" s="250"/>
      <c r="Y9" s="118"/>
      <c r="Z9" s="118"/>
      <c r="AA9" s="118"/>
      <c r="AB9" s="118"/>
      <c r="AC9" s="118"/>
      <c r="AD9" s="118"/>
      <c r="AE9" s="118"/>
      <c r="AF9" s="119"/>
      <c r="AG9" s="118"/>
    </row>
    <row r="10" spans="1:42" ht="15" thickBot="1" x14ac:dyDescent="0.35">
      <c r="A10" s="173"/>
      <c r="B10" s="174" t="s">
        <v>479</v>
      </c>
      <c r="C10" s="175"/>
      <c r="D10" s="175"/>
      <c r="E10" s="176"/>
      <c r="F10" s="176"/>
      <c r="G10" s="177"/>
      <c r="H10" s="177"/>
      <c r="I10" s="176"/>
      <c r="J10" s="177"/>
      <c r="K10" s="251"/>
      <c r="Y10" s="118"/>
      <c r="Z10" s="118"/>
      <c r="AA10" s="118"/>
      <c r="AB10" s="118"/>
      <c r="AC10" s="118"/>
      <c r="AD10" s="118"/>
      <c r="AE10" s="118"/>
      <c r="AF10" s="119" t="s">
        <v>395</v>
      </c>
      <c r="AG10" s="118">
        <v>3.9599999999999998E-4</v>
      </c>
    </row>
    <row r="11" spans="1:42" ht="15" thickBot="1" x14ac:dyDescent="0.35">
      <c r="B11" s="115"/>
      <c r="Y11" s="118"/>
      <c r="Z11" s="118"/>
      <c r="AA11" s="118"/>
      <c r="AB11" s="118"/>
      <c r="AC11" s="118"/>
      <c r="AD11" s="118"/>
      <c r="AE11" s="118"/>
      <c r="AF11" s="119"/>
      <c r="AG11" s="118"/>
    </row>
    <row r="12" spans="1:42" s="179" customFormat="1" ht="72" customHeight="1" x14ac:dyDescent="0.3">
      <c r="B12" s="258" t="s">
        <v>430</v>
      </c>
      <c r="C12" s="259"/>
      <c r="D12" s="259"/>
      <c r="E12" s="259"/>
      <c r="F12" s="259"/>
      <c r="G12" s="259"/>
      <c r="H12" s="259"/>
      <c r="I12" s="259"/>
      <c r="J12" s="260"/>
      <c r="K12" s="261" t="s">
        <v>431</v>
      </c>
      <c r="L12" s="262"/>
      <c r="M12" s="262"/>
      <c r="N12" s="262"/>
      <c r="O12" s="263"/>
      <c r="P12" s="267" t="s">
        <v>422</v>
      </c>
      <c r="Q12" s="268"/>
      <c r="R12" s="269"/>
      <c r="S12" s="264" t="s">
        <v>400</v>
      </c>
      <c r="T12" s="265"/>
      <c r="U12" s="265"/>
      <c r="V12" s="265"/>
      <c r="W12" s="265"/>
      <c r="X12" s="265"/>
      <c r="Y12" s="265"/>
      <c r="Z12" s="265"/>
      <c r="AA12" s="265"/>
      <c r="AB12" s="266"/>
      <c r="AC12" s="270" t="s">
        <v>429</v>
      </c>
      <c r="AD12" s="271"/>
      <c r="AE12" s="271"/>
      <c r="AF12" s="271"/>
      <c r="AG12" s="272"/>
      <c r="AH12" s="253" t="s">
        <v>468</v>
      </c>
      <c r="AI12" s="254"/>
      <c r="AJ12" s="254"/>
      <c r="AK12" s="255" t="s">
        <v>469</v>
      </c>
      <c r="AL12" s="256"/>
      <c r="AM12" s="256"/>
      <c r="AN12" s="256"/>
      <c r="AO12" s="256"/>
      <c r="AP12" s="257"/>
    </row>
    <row r="13" spans="1:42" ht="60" x14ac:dyDescent="0.3">
      <c r="B13" s="165" t="s">
        <v>2</v>
      </c>
      <c r="C13" s="163" t="s">
        <v>388</v>
      </c>
      <c r="D13" s="121" t="s">
        <v>219</v>
      </c>
      <c r="E13" s="164" t="s">
        <v>29</v>
      </c>
      <c r="F13" s="164" t="s">
        <v>28</v>
      </c>
      <c r="G13" s="121" t="s">
        <v>240</v>
      </c>
      <c r="H13" s="121" t="s">
        <v>239</v>
      </c>
      <c r="I13" s="121" t="s">
        <v>371</v>
      </c>
      <c r="J13" s="123" t="s">
        <v>423</v>
      </c>
      <c r="K13" s="158" t="s">
        <v>417</v>
      </c>
      <c r="L13" s="121" t="s">
        <v>418</v>
      </c>
      <c r="M13" s="121" t="s">
        <v>419</v>
      </c>
      <c r="N13" s="121" t="s">
        <v>420</v>
      </c>
      <c r="O13" s="122" t="s">
        <v>421</v>
      </c>
      <c r="P13" s="120" t="s">
        <v>407</v>
      </c>
      <c r="Q13" s="121" t="s">
        <v>408</v>
      </c>
      <c r="R13" s="122" t="s">
        <v>409</v>
      </c>
      <c r="S13" s="120" t="s">
        <v>368</v>
      </c>
      <c r="T13" s="121" t="s">
        <v>428</v>
      </c>
      <c r="U13" s="121" t="s">
        <v>427</v>
      </c>
      <c r="V13" s="121" t="s">
        <v>426</v>
      </c>
      <c r="W13" s="121" t="s">
        <v>374</v>
      </c>
      <c r="X13" s="121" t="s">
        <v>375</v>
      </c>
      <c r="Y13" s="121" t="s">
        <v>381</v>
      </c>
      <c r="Z13" s="121" t="s">
        <v>382</v>
      </c>
      <c r="AA13" s="121" t="s">
        <v>424</v>
      </c>
      <c r="AB13" s="122" t="s">
        <v>425</v>
      </c>
      <c r="AC13" s="120" t="s">
        <v>391</v>
      </c>
      <c r="AD13" s="121" t="s">
        <v>392</v>
      </c>
      <c r="AE13" s="121" t="s">
        <v>393</v>
      </c>
      <c r="AF13" s="121" t="s">
        <v>394</v>
      </c>
      <c r="AG13" s="122" t="s">
        <v>396</v>
      </c>
      <c r="AH13" s="153" t="s">
        <v>220</v>
      </c>
      <c r="AI13" s="111" t="s">
        <v>221</v>
      </c>
      <c r="AJ13" s="234" t="s">
        <v>222</v>
      </c>
      <c r="AK13" s="241" t="s">
        <v>470</v>
      </c>
      <c r="AL13" s="237" t="s">
        <v>471</v>
      </c>
      <c r="AM13" s="237" t="s">
        <v>381</v>
      </c>
      <c r="AN13" s="237" t="s">
        <v>474</v>
      </c>
      <c r="AO13" s="237" t="s">
        <v>472</v>
      </c>
      <c r="AP13" s="242" t="s">
        <v>473</v>
      </c>
    </row>
    <row r="14" spans="1:42" ht="90" x14ac:dyDescent="0.3">
      <c r="B14" s="166" t="s">
        <v>343</v>
      </c>
      <c r="C14" s="128" t="s">
        <v>376</v>
      </c>
      <c r="D14" s="180" t="s">
        <v>410</v>
      </c>
      <c r="E14" s="182" t="s">
        <v>334</v>
      </c>
      <c r="F14" s="182" t="s">
        <v>336</v>
      </c>
      <c r="G14" s="180" t="s">
        <v>335</v>
      </c>
      <c r="H14" s="180" t="s">
        <v>401</v>
      </c>
      <c r="I14" s="180" t="s">
        <v>405</v>
      </c>
      <c r="J14" s="185" t="s">
        <v>369</v>
      </c>
      <c r="K14" s="159"/>
      <c r="L14" s="113"/>
      <c r="M14" s="113"/>
      <c r="N14" s="113"/>
      <c r="O14" s="125"/>
      <c r="P14" s="124"/>
      <c r="Q14" s="113"/>
      <c r="R14" s="125"/>
      <c r="S14" s="124" t="s">
        <v>378</v>
      </c>
      <c r="T14" s="126">
        <v>0.4</v>
      </c>
      <c r="U14" s="127">
        <v>0.87</v>
      </c>
      <c r="V14" s="127">
        <v>0.95</v>
      </c>
      <c r="W14" s="113" t="s">
        <v>380</v>
      </c>
      <c r="X14" s="126">
        <v>0.1</v>
      </c>
      <c r="Y14" s="128">
        <f>T14/12*X14*43560</f>
        <v>145.20000000000002</v>
      </c>
      <c r="Z14" s="128" t="s">
        <v>383</v>
      </c>
      <c r="AA14" s="129">
        <v>1.78</v>
      </c>
      <c r="AB14" s="143">
        <v>15</v>
      </c>
      <c r="AC14" s="147">
        <f>AA14*X14</f>
        <v>0.17800000000000002</v>
      </c>
      <c r="AD14" s="146">
        <f>AB14*X14</f>
        <v>1.5</v>
      </c>
      <c r="AE14" s="146">
        <f>AC14*U14</f>
        <v>0.15486000000000003</v>
      </c>
      <c r="AF14" s="146">
        <f>AD14*V14</f>
        <v>1.4249999999999998</v>
      </c>
      <c r="AG14" s="150">
        <f>AE14/AG$10</f>
        <v>391.06060606060618</v>
      </c>
      <c r="AH14" s="154">
        <f>AG14+P14*2000</f>
        <v>391.06060606060618</v>
      </c>
      <c r="AI14" s="151">
        <f>AE14+Q14</f>
        <v>0.15486000000000003</v>
      </c>
      <c r="AJ14" s="235">
        <f>AF14+R14</f>
        <v>1.4249999999999998</v>
      </c>
      <c r="AK14" s="243" t="s">
        <v>299</v>
      </c>
      <c r="AL14" s="238">
        <f>'Opti-Tool'!F$9</f>
        <v>33.702800000000003</v>
      </c>
      <c r="AM14" s="239">
        <f>Y14</f>
        <v>145.20000000000002</v>
      </c>
      <c r="AN14" s="238">
        <f>AL14*AM14</f>
        <v>4893.646560000001</v>
      </c>
      <c r="AO14" s="238">
        <f>ROUNDDOWN(AN14*0.9,-3)</f>
        <v>4000</v>
      </c>
      <c r="AP14" s="244">
        <f>ROUNDUP(AN14*1.1,-3)</f>
        <v>6000</v>
      </c>
    </row>
    <row r="15" spans="1:42" ht="45" x14ac:dyDescent="0.3">
      <c r="B15" s="166" t="s">
        <v>362</v>
      </c>
      <c r="C15" s="128" t="s">
        <v>372</v>
      </c>
      <c r="D15" s="180"/>
      <c r="E15" s="182"/>
      <c r="F15" s="182"/>
      <c r="G15" s="180"/>
      <c r="H15" s="180"/>
      <c r="I15" s="180"/>
      <c r="J15" s="185"/>
      <c r="K15" s="159"/>
      <c r="L15" s="113"/>
      <c r="M15" s="113"/>
      <c r="N15" s="113"/>
      <c r="O15" s="125"/>
      <c r="P15" s="124"/>
      <c r="Q15" s="113"/>
      <c r="R15" s="125"/>
      <c r="S15" s="124"/>
      <c r="T15" s="126"/>
      <c r="U15" s="127"/>
      <c r="V15" s="127"/>
      <c r="W15" s="113"/>
      <c r="X15" s="113"/>
      <c r="Y15" s="113"/>
      <c r="Z15" s="113"/>
      <c r="AA15" s="130"/>
      <c r="AB15" s="144"/>
      <c r="AC15" s="148"/>
      <c r="AD15" s="130"/>
      <c r="AE15" s="130"/>
      <c r="AF15" s="130"/>
      <c r="AG15" s="144"/>
      <c r="AH15" s="154">
        <f t="shared" ref="AH15:AH26" si="0">AG15+P15*2000</f>
        <v>0</v>
      </c>
      <c r="AI15" s="151">
        <f t="shared" ref="AI15:AI26" si="1">AE15+Q15</f>
        <v>0</v>
      </c>
      <c r="AJ15" s="235">
        <f t="shared" ref="AJ15:AJ26" si="2">AF15+R15</f>
        <v>0</v>
      </c>
      <c r="AK15" s="245"/>
      <c r="AL15" s="240"/>
      <c r="AM15" s="240"/>
      <c r="AN15" s="240"/>
      <c r="AO15" s="240"/>
      <c r="AP15" s="246"/>
    </row>
    <row r="16" spans="1:42" ht="75" x14ac:dyDescent="0.3">
      <c r="B16" s="166" t="s">
        <v>363</v>
      </c>
      <c r="C16" s="128" t="s">
        <v>377</v>
      </c>
      <c r="D16" s="180"/>
      <c r="E16" s="182" t="s">
        <v>365</v>
      </c>
      <c r="F16" s="182"/>
      <c r="G16" s="180"/>
      <c r="H16" s="180"/>
      <c r="I16" s="180"/>
      <c r="J16" s="185"/>
      <c r="K16" s="159"/>
      <c r="L16" s="113"/>
      <c r="M16" s="113"/>
      <c r="N16" s="113"/>
      <c r="O16" s="125"/>
      <c r="P16" s="124"/>
      <c r="Q16" s="113"/>
      <c r="R16" s="125"/>
      <c r="S16" s="124"/>
      <c r="T16" s="126"/>
      <c r="U16" s="127"/>
      <c r="V16" s="127"/>
      <c r="W16" s="113"/>
      <c r="X16" s="113"/>
      <c r="Y16" s="113"/>
      <c r="Z16" s="113"/>
      <c r="AA16" s="130"/>
      <c r="AB16" s="144"/>
      <c r="AC16" s="148"/>
      <c r="AD16" s="130"/>
      <c r="AE16" s="130"/>
      <c r="AF16" s="130"/>
      <c r="AG16" s="144"/>
      <c r="AH16" s="154">
        <f t="shared" si="0"/>
        <v>0</v>
      </c>
      <c r="AI16" s="151">
        <f t="shared" si="1"/>
        <v>0</v>
      </c>
      <c r="AJ16" s="235">
        <f t="shared" si="2"/>
        <v>0</v>
      </c>
      <c r="AK16" s="245"/>
      <c r="AL16" s="240"/>
      <c r="AM16" s="240"/>
      <c r="AN16" s="240"/>
      <c r="AO16" s="240"/>
      <c r="AP16" s="246"/>
    </row>
    <row r="17" spans="2:42" ht="60" x14ac:dyDescent="0.3">
      <c r="B17" s="166" t="s">
        <v>344</v>
      </c>
      <c r="C17" s="128" t="s">
        <v>376</v>
      </c>
      <c r="D17" s="180" t="s">
        <v>183</v>
      </c>
      <c r="E17" s="182" t="s">
        <v>384</v>
      </c>
      <c r="F17" s="182" t="s">
        <v>476</v>
      </c>
      <c r="G17" s="180" t="s">
        <v>265</v>
      </c>
      <c r="H17" s="180" t="s">
        <v>299</v>
      </c>
      <c r="I17" s="180" t="s">
        <v>480</v>
      </c>
      <c r="J17" s="185" t="s">
        <v>370</v>
      </c>
      <c r="K17" s="160">
        <v>0.5</v>
      </c>
      <c r="L17" s="131">
        <v>0.5</v>
      </c>
      <c r="M17" s="131">
        <v>0.5</v>
      </c>
      <c r="N17" s="128">
        <v>20</v>
      </c>
      <c r="O17" s="132">
        <v>2</v>
      </c>
      <c r="P17" s="133">
        <v>0.19</v>
      </c>
      <c r="Q17" s="126">
        <v>0.16</v>
      </c>
      <c r="R17" s="134">
        <v>0.32</v>
      </c>
      <c r="S17" s="124" t="s">
        <v>379</v>
      </c>
      <c r="T17" s="126">
        <v>0.4</v>
      </c>
      <c r="U17" s="127">
        <v>0.81</v>
      </c>
      <c r="V17" s="127">
        <v>0.92</v>
      </c>
      <c r="W17" s="113" t="s">
        <v>389</v>
      </c>
      <c r="X17" s="126">
        <v>0.1</v>
      </c>
      <c r="Y17" s="128">
        <f>T17/12*X17*43560</f>
        <v>145.20000000000002</v>
      </c>
      <c r="Z17" s="113" t="s">
        <v>390</v>
      </c>
      <c r="AA17" s="129">
        <v>1.78</v>
      </c>
      <c r="AB17" s="143">
        <v>15</v>
      </c>
      <c r="AC17" s="147">
        <f>AA17*X17</f>
        <v>0.17800000000000002</v>
      </c>
      <c r="AD17" s="146">
        <f>AB17*X17</f>
        <v>1.5</v>
      </c>
      <c r="AE17" s="146">
        <f>AC17*U17</f>
        <v>0.14418000000000003</v>
      </c>
      <c r="AF17" s="146">
        <f>AD17*V17</f>
        <v>1.3800000000000001</v>
      </c>
      <c r="AG17" s="150">
        <f>AE17/AG$10</f>
        <v>364.09090909090918</v>
      </c>
      <c r="AH17" s="154">
        <f t="shared" si="0"/>
        <v>744.09090909090924</v>
      </c>
      <c r="AI17" s="151">
        <f t="shared" si="1"/>
        <v>0.30418000000000001</v>
      </c>
      <c r="AJ17" s="235">
        <f t="shared" si="2"/>
        <v>1.7000000000000002</v>
      </c>
      <c r="AK17" s="243" t="s">
        <v>299</v>
      </c>
      <c r="AL17" s="238">
        <f>'Opti-Tool'!F$9</f>
        <v>33.702800000000003</v>
      </c>
      <c r="AM17" s="239">
        <f>AM19</f>
        <v>145.20000000000002</v>
      </c>
      <c r="AN17" s="238">
        <f>AL17*AM17</f>
        <v>4893.646560000001</v>
      </c>
      <c r="AO17" s="238">
        <f>ROUNDDOWN(AN17*0.9,-3)</f>
        <v>4000</v>
      </c>
      <c r="AP17" s="244">
        <f>ROUNDUP(AN17*1.1,-3)</f>
        <v>6000</v>
      </c>
    </row>
    <row r="18" spans="2:42" ht="75" x14ac:dyDescent="0.3">
      <c r="B18" s="166" t="s">
        <v>345</v>
      </c>
      <c r="C18" s="128" t="s">
        <v>376</v>
      </c>
      <c r="D18" s="180" t="s">
        <v>183</v>
      </c>
      <c r="E18" s="182" t="s">
        <v>385</v>
      </c>
      <c r="F18" s="182" t="s">
        <v>338</v>
      </c>
      <c r="G18" s="180" t="s">
        <v>270</v>
      </c>
      <c r="H18" s="180" t="s">
        <v>339</v>
      </c>
      <c r="I18" s="180" t="s">
        <v>386</v>
      </c>
      <c r="J18" s="185" t="s">
        <v>370</v>
      </c>
      <c r="K18" s="160">
        <v>2</v>
      </c>
      <c r="L18" s="128">
        <v>1</v>
      </c>
      <c r="M18" s="131">
        <v>0.5</v>
      </c>
      <c r="N18" s="128">
        <v>30</v>
      </c>
      <c r="O18" s="132">
        <v>2</v>
      </c>
      <c r="P18" s="133">
        <v>0.56000000000000005</v>
      </c>
      <c r="Q18" s="126">
        <v>0.48</v>
      </c>
      <c r="R18" s="134">
        <v>0.95</v>
      </c>
      <c r="S18" s="124"/>
      <c r="T18" s="126"/>
      <c r="U18" s="127"/>
      <c r="V18" s="127"/>
      <c r="W18" s="113"/>
      <c r="X18" s="113"/>
      <c r="Y18" s="113"/>
      <c r="Z18" s="113"/>
      <c r="AA18" s="130"/>
      <c r="AB18" s="144"/>
      <c r="AC18" s="148"/>
      <c r="AD18" s="130"/>
      <c r="AE18" s="130"/>
      <c r="AF18" s="130"/>
      <c r="AG18" s="144"/>
      <c r="AH18" s="154">
        <f t="shared" si="0"/>
        <v>1120</v>
      </c>
      <c r="AI18" s="151">
        <f t="shared" si="1"/>
        <v>0.48</v>
      </c>
      <c r="AJ18" s="235">
        <f t="shared" si="2"/>
        <v>0.95</v>
      </c>
      <c r="AK18" s="247" t="s">
        <v>477</v>
      </c>
      <c r="AL18" s="240"/>
      <c r="AM18" s="240"/>
      <c r="AN18" s="240"/>
      <c r="AO18" s="238">
        <v>1000</v>
      </c>
      <c r="AP18" s="244">
        <v>2000</v>
      </c>
    </row>
    <row r="19" spans="2:42" ht="60" x14ac:dyDescent="0.3">
      <c r="B19" s="166" t="s">
        <v>346</v>
      </c>
      <c r="C19" s="128" t="s">
        <v>376</v>
      </c>
      <c r="D19" s="180" t="s">
        <v>410</v>
      </c>
      <c r="E19" s="182" t="s">
        <v>387</v>
      </c>
      <c r="F19" s="182" t="s">
        <v>340</v>
      </c>
      <c r="G19" s="180" t="s">
        <v>274</v>
      </c>
      <c r="H19" s="180" t="s">
        <v>341</v>
      </c>
      <c r="I19" s="180" t="s">
        <v>405</v>
      </c>
      <c r="J19" s="185" t="s">
        <v>370</v>
      </c>
      <c r="K19" s="159"/>
      <c r="L19" s="113"/>
      <c r="M19" s="113"/>
      <c r="N19" s="113"/>
      <c r="O19" s="125"/>
      <c r="P19" s="124"/>
      <c r="Q19" s="113"/>
      <c r="R19" s="125"/>
      <c r="S19" s="124" t="s">
        <v>379</v>
      </c>
      <c r="T19" s="126">
        <v>0.4</v>
      </c>
      <c r="U19" s="127">
        <v>0.81</v>
      </c>
      <c r="V19" s="127">
        <v>0.92</v>
      </c>
      <c r="W19" s="113" t="s">
        <v>389</v>
      </c>
      <c r="X19" s="126">
        <v>0.1</v>
      </c>
      <c r="Y19" s="128">
        <f>T19/12*X19*43560</f>
        <v>145.20000000000002</v>
      </c>
      <c r="Z19" s="113" t="s">
        <v>390</v>
      </c>
      <c r="AA19" s="129">
        <v>1.78</v>
      </c>
      <c r="AB19" s="143">
        <v>15</v>
      </c>
      <c r="AC19" s="147">
        <f>AA19*X19</f>
        <v>0.17800000000000002</v>
      </c>
      <c r="AD19" s="146">
        <f>AB19*X19</f>
        <v>1.5</v>
      </c>
      <c r="AE19" s="146">
        <f>AC19*U19</f>
        <v>0.14418000000000003</v>
      </c>
      <c r="AF19" s="146">
        <f>AD19*V19</f>
        <v>1.3800000000000001</v>
      </c>
      <c r="AG19" s="150">
        <f>AE19/AG$10</f>
        <v>364.09090909090918</v>
      </c>
      <c r="AH19" s="154">
        <f t="shared" si="0"/>
        <v>364.09090909090918</v>
      </c>
      <c r="AI19" s="151">
        <f t="shared" si="1"/>
        <v>0.14418000000000003</v>
      </c>
      <c r="AJ19" s="235">
        <f t="shared" si="2"/>
        <v>1.3800000000000001</v>
      </c>
      <c r="AK19" s="243" t="s">
        <v>299</v>
      </c>
      <c r="AL19" s="238">
        <f>'Opti-Tool'!F$9</f>
        <v>33.702800000000003</v>
      </c>
      <c r="AM19" s="239">
        <f>Y19</f>
        <v>145.20000000000002</v>
      </c>
      <c r="AN19" s="238">
        <f>AL19*AM19</f>
        <v>4893.646560000001</v>
      </c>
      <c r="AO19" s="238">
        <f>ROUNDDOWN(AN19*0.9,-3)</f>
        <v>4000</v>
      </c>
      <c r="AP19" s="244">
        <f>ROUNDUP(AN19*1.1,-3)</f>
        <v>6000</v>
      </c>
    </row>
    <row r="20" spans="2:42" ht="45" x14ac:dyDescent="0.3">
      <c r="B20" s="166" t="s">
        <v>359</v>
      </c>
      <c r="C20" s="128" t="s">
        <v>372</v>
      </c>
      <c r="D20" s="180"/>
      <c r="E20" s="182" t="s">
        <v>366</v>
      </c>
      <c r="F20" s="182"/>
      <c r="G20" s="180"/>
      <c r="H20" s="180"/>
      <c r="I20" s="180"/>
      <c r="J20" s="185"/>
      <c r="K20" s="159"/>
      <c r="L20" s="113"/>
      <c r="M20" s="113"/>
      <c r="N20" s="113"/>
      <c r="O20" s="125"/>
      <c r="P20" s="124"/>
      <c r="Q20" s="113"/>
      <c r="R20" s="125"/>
      <c r="S20" s="124"/>
      <c r="T20" s="126"/>
      <c r="U20" s="127"/>
      <c r="V20" s="127"/>
      <c r="W20" s="113"/>
      <c r="X20" s="113"/>
      <c r="Y20" s="113"/>
      <c r="Z20" s="113"/>
      <c r="AA20" s="130"/>
      <c r="AB20" s="144"/>
      <c r="AC20" s="148"/>
      <c r="AD20" s="130"/>
      <c r="AE20" s="130"/>
      <c r="AF20" s="130"/>
      <c r="AG20" s="144"/>
      <c r="AH20" s="154">
        <f t="shared" si="0"/>
        <v>0</v>
      </c>
      <c r="AI20" s="151">
        <f t="shared" si="1"/>
        <v>0</v>
      </c>
      <c r="AJ20" s="235">
        <f t="shared" si="2"/>
        <v>0</v>
      </c>
      <c r="AK20" s="245"/>
      <c r="AL20" s="240"/>
      <c r="AM20" s="240"/>
      <c r="AN20" s="240"/>
      <c r="AO20" s="240"/>
      <c r="AP20" s="246"/>
    </row>
    <row r="21" spans="2:42" ht="45" x14ac:dyDescent="0.3">
      <c r="B21" s="166" t="s">
        <v>360</v>
      </c>
      <c r="C21" s="128" t="s">
        <v>372</v>
      </c>
      <c r="D21" s="180"/>
      <c r="E21" s="182" t="s">
        <v>367</v>
      </c>
      <c r="F21" s="182"/>
      <c r="G21" s="180"/>
      <c r="H21" s="180"/>
      <c r="I21" s="180"/>
      <c r="J21" s="185"/>
      <c r="K21" s="159"/>
      <c r="L21" s="113"/>
      <c r="M21" s="113"/>
      <c r="N21" s="113"/>
      <c r="O21" s="125"/>
      <c r="P21" s="124"/>
      <c r="Q21" s="113"/>
      <c r="R21" s="125"/>
      <c r="S21" s="124"/>
      <c r="T21" s="126"/>
      <c r="U21" s="127"/>
      <c r="V21" s="127"/>
      <c r="W21" s="113"/>
      <c r="X21" s="113"/>
      <c r="Y21" s="113"/>
      <c r="Z21" s="113"/>
      <c r="AA21" s="130"/>
      <c r="AB21" s="144"/>
      <c r="AC21" s="148"/>
      <c r="AD21" s="130"/>
      <c r="AE21" s="130"/>
      <c r="AF21" s="130"/>
      <c r="AG21" s="144"/>
      <c r="AH21" s="154">
        <f t="shared" si="0"/>
        <v>0</v>
      </c>
      <c r="AI21" s="151">
        <f t="shared" si="1"/>
        <v>0</v>
      </c>
      <c r="AJ21" s="235">
        <f t="shared" si="2"/>
        <v>0</v>
      </c>
      <c r="AK21" s="245"/>
      <c r="AL21" s="240"/>
      <c r="AM21" s="240"/>
      <c r="AN21" s="240"/>
      <c r="AO21" s="240"/>
      <c r="AP21" s="246"/>
    </row>
    <row r="22" spans="2:42" ht="45" x14ac:dyDescent="0.3">
      <c r="B22" s="166" t="s">
        <v>361</v>
      </c>
      <c r="C22" s="128" t="s">
        <v>372</v>
      </c>
      <c r="D22" s="180"/>
      <c r="E22" s="182" t="s">
        <v>367</v>
      </c>
      <c r="F22" s="182"/>
      <c r="G22" s="180"/>
      <c r="H22" s="180"/>
      <c r="I22" s="180"/>
      <c r="J22" s="185"/>
      <c r="K22" s="159"/>
      <c r="L22" s="113"/>
      <c r="M22" s="113"/>
      <c r="N22" s="113"/>
      <c r="O22" s="125"/>
      <c r="P22" s="124"/>
      <c r="Q22" s="113"/>
      <c r="R22" s="125"/>
      <c r="S22" s="124"/>
      <c r="T22" s="126"/>
      <c r="U22" s="127"/>
      <c r="V22" s="127"/>
      <c r="W22" s="113"/>
      <c r="X22" s="113"/>
      <c r="Y22" s="113"/>
      <c r="Z22" s="113"/>
      <c r="AA22" s="130"/>
      <c r="AB22" s="144"/>
      <c r="AC22" s="148"/>
      <c r="AD22" s="130"/>
      <c r="AE22" s="130"/>
      <c r="AF22" s="130"/>
      <c r="AG22" s="144"/>
      <c r="AH22" s="154">
        <f t="shared" si="0"/>
        <v>0</v>
      </c>
      <c r="AI22" s="151">
        <f t="shared" si="1"/>
        <v>0</v>
      </c>
      <c r="AJ22" s="235">
        <f t="shared" si="2"/>
        <v>0</v>
      </c>
      <c r="AK22" s="245"/>
      <c r="AL22" s="240"/>
      <c r="AM22" s="240"/>
      <c r="AN22" s="240"/>
      <c r="AO22" s="240"/>
      <c r="AP22" s="246"/>
    </row>
    <row r="23" spans="2:42" ht="60" x14ac:dyDescent="0.3">
      <c r="B23" s="166" t="s">
        <v>347</v>
      </c>
      <c r="C23" s="128" t="s">
        <v>376</v>
      </c>
      <c r="D23" s="180"/>
      <c r="E23" s="182" t="s">
        <v>354</v>
      </c>
      <c r="F23" s="182" t="s">
        <v>342</v>
      </c>
      <c r="G23" s="180" t="s">
        <v>270</v>
      </c>
      <c r="H23" s="180" t="s">
        <v>397</v>
      </c>
      <c r="I23" s="180" t="s">
        <v>398</v>
      </c>
      <c r="J23" s="185" t="s">
        <v>369</v>
      </c>
      <c r="K23" s="159"/>
      <c r="L23" s="113"/>
      <c r="M23" s="113"/>
      <c r="N23" s="113"/>
      <c r="O23" s="125"/>
      <c r="P23" s="124"/>
      <c r="Q23" s="113"/>
      <c r="R23" s="125"/>
      <c r="S23" s="124"/>
      <c r="T23" s="126"/>
      <c r="U23" s="127"/>
      <c r="V23" s="127"/>
      <c r="W23" s="113"/>
      <c r="X23" s="113"/>
      <c r="Y23" s="113"/>
      <c r="Z23" s="113"/>
      <c r="AA23" s="130"/>
      <c r="AB23" s="144"/>
      <c r="AC23" s="148"/>
      <c r="AD23" s="130"/>
      <c r="AE23" s="130"/>
      <c r="AF23" s="130"/>
      <c r="AG23" s="144"/>
      <c r="AH23" s="154">
        <f t="shared" si="0"/>
        <v>0</v>
      </c>
      <c r="AI23" s="151">
        <f t="shared" si="1"/>
        <v>0</v>
      </c>
      <c r="AJ23" s="235">
        <f t="shared" si="2"/>
        <v>0</v>
      </c>
      <c r="AK23" s="245"/>
      <c r="AL23" s="240"/>
      <c r="AM23" s="240"/>
      <c r="AN23" s="240"/>
      <c r="AO23" s="240"/>
      <c r="AP23" s="246"/>
    </row>
    <row r="24" spans="2:42" ht="60" x14ac:dyDescent="0.3">
      <c r="B24" s="166" t="s">
        <v>348</v>
      </c>
      <c r="C24" s="128" t="s">
        <v>376</v>
      </c>
      <c r="D24" s="180"/>
      <c r="E24" s="182" t="s">
        <v>355</v>
      </c>
      <c r="F24" s="182" t="s">
        <v>399</v>
      </c>
      <c r="G24" s="180" t="s">
        <v>270</v>
      </c>
      <c r="H24" s="180" t="s">
        <v>352</v>
      </c>
      <c r="I24" s="180" t="s">
        <v>398</v>
      </c>
      <c r="J24" s="185" t="s">
        <v>369</v>
      </c>
      <c r="K24" s="159"/>
      <c r="L24" s="113"/>
      <c r="M24" s="113"/>
      <c r="N24" s="113"/>
      <c r="O24" s="125"/>
      <c r="P24" s="124"/>
      <c r="Q24" s="113"/>
      <c r="R24" s="125"/>
      <c r="S24" s="124"/>
      <c r="T24" s="126"/>
      <c r="U24" s="127"/>
      <c r="V24" s="127"/>
      <c r="W24" s="113"/>
      <c r="X24" s="113"/>
      <c r="Y24" s="128"/>
      <c r="Z24" s="113"/>
      <c r="AA24" s="130"/>
      <c r="AB24" s="144"/>
      <c r="AC24" s="148"/>
      <c r="AD24" s="130"/>
      <c r="AE24" s="130"/>
      <c r="AF24" s="130"/>
      <c r="AG24" s="144"/>
      <c r="AH24" s="154">
        <f t="shared" si="0"/>
        <v>0</v>
      </c>
      <c r="AI24" s="151">
        <f t="shared" si="1"/>
        <v>0</v>
      </c>
      <c r="AJ24" s="235">
        <f t="shared" si="2"/>
        <v>0</v>
      </c>
      <c r="AK24" s="245"/>
      <c r="AL24" s="240"/>
      <c r="AM24" s="240"/>
      <c r="AN24" s="240"/>
      <c r="AO24" s="240"/>
      <c r="AP24" s="246"/>
    </row>
    <row r="25" spans="2:42" ht="150" x14ac:dyDescent="0.3">
      <c r="B25" s="166" t="s">
        <v>349</v>
      </c>
      <c r="C25" s="128" t="s">
        <v>373</v>
      </c>
      <c r="D25" s="180" t="s">
        <v>410</v>
      </c>
      <c r="E25" s="182" t="s">
        <v>353</v>
      </c>
      <c r="F25" s="182" t="s">
        <v>403</v>
      </c>
      <c r="G25" s="180" t="s">
        <v>274</v>
      </c>
      <c r="H25" s="180" t="s">
        <v>402</v>
      </c>
      <c r="I25" s="180" t="s">
        <v>404</v>
      </c>
      <c r="J25" s="185" t="s">
        <v>369</v>
      </c>
      <c r="K25" s="159"/>
      <c r="L25" s="113"/>
      <c r="M25" s="113"/>
      <c r="N25" s="113"/>
      <c r="O25" s="125"/>
      <c r="P25" s="124"/>
      <c r="Q25" s="113"/>
      <c r="R25" s="125"/>
      <c r="S25" s="124" t="s">
        <v>406</v>
      </c>
      <c r="T25" s="126">
        <v>0.4</v>
      </c>
      <c r="U25" s="127">
        <v>0.81</v>
      </c>
      <c r="V25" s="127">
        <v>0.95</v>
      </c>
      <c r="W25" s="113" t="s">
        <v>389</v>
      </c>
      <c r="X25" s="126">
        <v>0.1</v>
      </c>
      <c r="Y25" s="128">
        <f>T25/12*X25*43560</f>
        <v>145.20000000000002</v>
      </c>
      <c r="Z25" s="113" t="s">
        <v>390</v>
      </c>
      <c r="AA25" s="129">
        <v>1.78</v>
      </c>
      <c r="AB25" s="143">
        <v>15</v>
      </c>
      <c r="AC25" s="147">
        <f>AA25*X25</f>
        <v>0.17800000000000002</v>
      </c>
      <c r="AD25" s="146">
        <f>AB25*X25</f>
        <v>1.5</v>
      </c>
      <c r="AE25" s="146">
        <f>AC25*U25</f>
        <v>0.14418000000000003</v>
      </c>
      <c r="AF25" s="146">
        <f>AD25*V25</f>
        <v>1.4249999999999998</v>
      </c>
      <c r="AG25" s="150">
        <f>AE25/AG$10</f>
        <v>364.09090909090918</v>
      </c>
      <c r="AH25" s="154">
        <f t="shared" si="0"/>
        <v>364.09090909090918</v>
      </c>
      <c r="AI25" s="151">
        <f t="shared" si="1"/>
        <v>0.14418000000000003</v>
      </c>
      <c r="AJ25" s="235">
        <f t="shared" si="2"/>
        <v>1.4249999999999998</v>
      </c>
      <c r="AK25" s="247" t="s">
        <v>475</v>
      </c>
      <c r="AL25" s="238">
        <f>'Opti-Tool'!F15</f>
        <v>39.392600000000002</v>
      </c>
      <c r="AM25" s="239">
        <f>Y25</f>
        <v>145.20000000000002</v>
      </c>
      <c r="AN25" s="238">
        <f>AL25*AM25</f>
        <v>5719.8055200000008</v>
      </c>
      <c r="AO25" s="238">
        <f>ROUNDDOWN(AN25*0.9,-3)</f>
        <v>5000</v>
      </c>
      <c r="AP25" s="244">
        <f>ROUNDUP(AN25*1.1,-3)</f>
        <v>7000</v>
      </c>
    </row>
    <row r="26" spans="2:42" ht="45" x14ac:dyDescent="0.3">
      <c r="B26" s="166" t="s">
        <v>350</v>
      </c>
      <c r="C26" s="128" t="s">
        <v>373</v>
      </c>
      <c r="D26" s="180" t="s">
        <v>410</v>
      </c>
      <c r="E26" s="182" t="s">
        <v>356</v>
      </c>
      <c r="F26" s="182" t="s">
        <v>357</v>
      </c>
      <c r="G26" s="180" t="s">
        <v>290</v>
      </c>
      <c r="H26" s="180" t="s">
        <v>358</v>
      </c>
      <c r="I26" s="180" t="s">
        <v>405</v>
      </c>
      <c r="J26" s="185" t="s">
        <v>369</v>
      </c>
      <c r="K26" s="161"/>
      <c r="L26" s="112"/>
      <c r="M26" s="112"/>
      <c r="N26" s="112"/>
      <c r="O26" s="136"/>
      <c r="P26" s="135"/>
      <c r="Q26" s="112"/>
      <c r="R26" s="136"/>
      <c r="S26" s="124" t="s">
        <v>378</v>
      </c>
      <c r="T26" s="126">
        <v>0.4</v>
      </c>
      <c r="U26" s="127">
        <v>0.87</v>
      </c>
      <c r="V26" s="127">
        <v>0.95</v>
      </c>
      <c r="W26" s="112" t="s">
        <v>270</v>
      </c>
      <c r="X26" s="126">
        <v>0.1</v>
      </c>
      <c r="Y26" s="128">
        <f>T26/12*X26*43560</f>
        <v>145.20000000000002</v>
      </c>
      <c r="Z26" s="113" t="s">
        <v>390</v>
      </c>
      <c r="AA26" s="129">
        <v>1.78</v>
      </c>
      <c r="AB26" s="143">
        <v>15</v>
      </c>
      <c r="AC26" s="147">
        <f>AA26*X26</f>
        <v>0.17800000000000002</v>
      </c>
      <c r="AD26" s="146">
        <f>AB26*X26</f>
        <v>1.5</v>
      </c>
      <c r="AE26" s="146">
        <f>AC26*U26</f>
        <v>0.15486000000000003</v>
      </c>
      <c r="AF26" s="146">
        <f>AD26*V26</f>
        <v>1.4249999999999998</v>
      </c>
      <c r="AG26" s="150">
        <f>AE26/AG$10</f>
        <v>391.06060606060618</v>
      </c>
      <c r="AH26" s="154">
        <f t="shared" si="0"/>
        <v>391.06060606060618</v>
      </c>
      <c r="AI26" s="151">
        <f t="shared" si="1"/>
        <v>0.15486000000000003</v>
      </c>
      <c r="AJ26" s="235">
        <f t="shared" si="2"/>
        <v>1.4249999999999998</v>
      </c>
      <c r="AK26" s="243" t="s">
        <v>299</v>
      </c>
      <c r="AL26" s="238">
        <f>'Opti-Tool'!F$9</f>
        <v>33.702800000000003</v>
      </c>
      <c r="AM26" s="239">
        <f>Y26</f>
        <v>145.20000000000002</v>
      </c>
      <c r="AN26" s="238">
        <f>AL26*AM26</f>
        <v>4893.646560000001</v>
      </c>
      <c r="AO26" s="238">
        <f>ROUNDDOWN(AN26*0.9,-3)</f>
        <v>4000</v>
      </c>
      <c r="AP26" s="244">
        <f>ROUNDUP(AN26*1.1,-3)</f>
        <v>6000</v>
      </c>
    </row>
    <row r="27" spans="2:42" ht="45.6" thickBot="1" x14ac:dyDescent="0.35">
      <c r="B27" s="167" t="s">
        <v>351</v>
      </c>
      <c r="C27" s="168" t="s">
        <v>372</v>
      </c>
      <c r="D27" s="181"/>
      <c r="E27" s="183"/>
      <c r="F27" s="183"/>
      <c r="G27" s="184"/>
      <c r="H27" s="184"/>
      <c r="I27" s="183"/>
      <c r="J27" s="186"/>
      <c r="K27" s="162"/>
      <c r="L27" s="138"/>
      <c r="M27" s="138"/>
      <c r="N27" s="138"/>
      <c r="O27" s="139"/>
      <c r="P27" s="137"/>
      <c r="Q27" s="138"/>
      <c r="R27" s="139"/>
      <c r="S27" s="140"/>
      <c r="T27" s="141"/>
      <c r="U27" s="141"/>
      <c r="V27" s="141"/>
      <c r="W27" s="142"/>
      <c r="X27" s="142"/>
      <c r="Y27" s="142"/>
      <c r="Z27" s="142"/>
      <c r="AA27" s="141"/>
      <c r="AB27" s="145"/>
      <c r="AC27" s="149"/>
      <c r="AD27" s="141"/>
      <c r="AE27" s="141"/>
      <c r="AF27" s="141"/>
      <c r="AG27" s="145"/>
      <c r="AH27" s="155">
        <f t="shared" ref="AH27" si="3">AG27+P27*2000</f>
        <v>0</v>
      </c>
      <c r="AI27" s="156">
        <f t="shared" ref="AI27" si="4">AE27+Q27</f>
        <v>0</v>
      </c>
      <c r="AJ27" s="236">
        <f t="shared" ref="AJ27" si="5">AF27+R27</f>
        <v>0</v>
      </c>
      <c r="AK27" s="140"/>
      <c r="AL27" s="142"/>
      <c r="AM27" s="142"/>
      <c r="AN27" s="142"/>
      <c r="AO27" s="142"/>
      <c r="AP27" s="248"/>
    </row>
  </sheetData>
  <mergeCells count="7">
    <mergeCell ref="AH12:AJ12"/>
    <mergeCell ref="AK12:AP12"/>
    <mergeCell ref="B12:J12"/>
    <mergeCell ref="K12:O12"/>
    <mergeCell ref="S12:AB12"/>
    <mergeCell ref="P12:R12"/>
    <mergeCell ref="AC12:AG12"/>
  </mergeCells>
  <pageMargins left="0.7" right="0.7" top="0.75" bottom="0.75" header="0.3" footer="0.3"/>
  <pageSetup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89B29-7B93-4075-A061-E77DAC65E413}">
  <dimension ref="B1:Q50"/>
  <sheetViews>
    <sheetView topLeftCell="A22" workbookViewId="0">
      <selection activeCell="C39" sqref="C39"/>
    </sheetView>
  </sheetViews>
  <sheetFormatPr defaultRowHeight="14.4" x14ac:dyDescent="0.3"/>
  <cols>
    <col min="1" max="1" width="4.21875" customWidth="1"/>
    <col min="2" max="2" width="52.77734375" style="200" customWidth="1"/>
    <col min="3" max="3" width="16.77734375" customWidth="1"/>
    <col min="4" max="4" width="16" customWidth="1"/>
    <col min="5" max="5" width="12.44140625" customWidth="1"/>
    <col min="6" max="6" width="19.21875" bestFit="1" customWidth="1"/>
    <col min="7" max="7" width="14.77734375" customWidth="1"/>
    <col min="8" max="8" width="14" customWidth="1"/>
    <col min="9" max="9" width="13.5546875" customWidth="1"/>
    <col min="10" max="13" width="11.21875" customWidth="1"/>
    <col min="14" max="14" width="14.21875" customWidth="1"/>
  </cols>
  <sheetData>
    <row r="1" spans="2:17" ht="18" x14ac:dyDescent="0.35">
      <c r="B1" s="197" t="s">
        <v>433</v>
      </c>
    </row>
    <row r="2" spans="2:17" x14ac:dyDescent="0.3">
      <c r="B2" s="198" t="s">
        <v>434</v>
      </c>
    </row>
    <row r="4" spans="2:17" x14ac:dyDescent="0.3">
      <c r="B4" s="199" t="s">
        <v>435</v>
      </c>
    </row>
    <row r="5" spans="2:17" x14ac:dyDescent="0.3">
      <c r="I5" s="201"/>
      <c r="J5" s="202"/>
      <c r="K5" s="202"/>
      <c r="L5" s="202"/>
      <c r="M5" s="202"/>
    </row>
    <row r="6" spans="2:17" ht="15.6" x14ac:dyDescent="0.3">
      <c r="B6" s="203" t="s">
        <v>436</v>
      </c>
    </row>
    <row r="7" spans="2:17" ht="43.2" x14ac:dyDescent="0.3">
      <c r="B7" s="204" t="s">
        <v>437</v>
      </c>
      <c r="C7" s="204" t="s">
        <v>438</v>
      </c>
      <c r="D7" s="204" t="s">
        <v>439</v>
      </c>
      <c r="E7" s="204" t="s">
        <v>440</v>
      </c>
      <c r="F7" s="204" t="s">
        <v>441</v>
      </c>
      <c r="H7" s="205"/>
      <c r="I7" s="205"/>
      <c r="J7" s="205"/>
      <c r="K7" s="205"/>
      <c r="L7" s="205"/>
      <c r="M7" s="205"/>
      <c r="N7" s="205"/>
      <c r="P7" s="205"/>
      <c r="Q7" s="205"/>
    </row>
    <row r="8" spans="2:17" x14ac:dyDescent="0.3">
      <c r="B8" s="206"/>
      <c r="C8" s="207"/>
      <c r="D8" s="207"/>
      <c r="E8" s="207"/>
      <c r="F8" s="207"/>
    </row>
    <row r="9" spans="2:17" x14ac:dyDescent="0.3">
      <c r="B9" s="206" t="s">
        <v>442</v>
      </c>
      <c r="C9" s="207">
        <v>15.46</v>
      </c>
      <c r="D9" s="208">
        <f>C9*1.09</f>
        <v>16.851400000000002</v>
      </c>
      <c r="E9" s="207">
        <v>2</v>
      </c>
      <c r="F9" s="209">
        <f>D9*E9</f>
        <v>33.702800000000003</v>
      </c>
      <c r="H9" s="210"/>
      <c r="I9" s="211"/>
      <c r="M9" s="211"/>
      <c r="N9" s="210"/>
      <c r="Q9" s="212"/>
    </row>
    <row r="10" spans="2:17" x14ac:dyDescent="0.3">
      <c r="B10" s="206" t="s">
        <v>443</v>
      </c>
      <c r="C10" s="207">
        <v>6.8</v>
      </c>
      <c r="D10" s="208">
        <f t="shared" ref="D10:D19" si="0">C10*1.09</f>
        <v>7.4119999999999999</v>
      </c>
      <c r="E10" s="207">
        <v>2</v>
      </c>
      <c r="F10" s="209">
        <f t="shared" ref="F10:F19" si="1">D10*E10</f>
        <v>14.824</v>
      </c>
      <c r="N10" s="210"/>
      <c r="Q10" s="212"/>
    </row>
    <row r="11" spans="2:17" x14ac:dyDescent="0.3">
      <c r="B11" s="206" t="s">
        <v>444</v>
      </c>
      <c r="C11" s="207">
        <v>15.61</v>
      </c>
      <c r="D11" s="208">
        <f t="shared" si="0"/>
        <v>17.014900000000001</v>
      </c>
      <c r="E11" s="207">
        <v>2</v>
      </c>
      <c r="F11" s="209">
        <f t="shared" si="1"/>
        <v>34.029800000000002</v>
      </c>
      <c r="N11" s="210"/>
      <c r="Q11" s="212"/>
    </row>
    <row r="12" spans="2:17" x14ac:dyDescent="0.3">
      <c r="B12" s="206" t="s">
        <v>445</v>
      </c>
      <c r="C12" s="207">
        <v>6.24</v>
      </c>
      <c r="D12" s="208">
        <f t="shared" si="0"/>
        <v>6.8016000000000005</v>
      </c>
      <c r="E12" s="207">
        <v>2</v>
      </c>
      <c r="F12" s="209">
        <f t="shared" si="1"/>
        <v>13.603200000000001</v>
      </c>
      <c r="N12" s="210"/>
      <c r="Q12" s="212"/>
    </row>
    <row r="13" spans="2:17" x14ac:dyDescent="0.3">
      <c r="B13" s="206" t="s">
        <v>446</v>
      </c>
      <c r="C13" s="207">
        <v>12.49</v>
      </c>
      <c r="D13" s="208">
        <f t="shared" si="0"/>
        <v>13.614100000000001</v>
      </c>
      <c r="E13" s="207">
        <v>2</v>
      </c>
      <c r="F13" s="209">
        <f t="shared" si="1"/>
        <v>27.228200000000001</v>
      </c>
      <c r="N13" s="210"/>
      <c r="Q13" s="212"/>
    </row>
    <row r="14" spans="2:17" x14ac:dyDescent="0.3">
      <c r="B14" s="206" t="s">
        <v>447</v>
      </c>
      <c r="C14" s="207">
        <v>5.32</v>
      </c>
      <c r="D14" s="208">
        <f t="shared" si="0"/>
        <v>5.7988000000000008</v>
      </c>
      <c r="E14" s="207">
        <v>2</v>
      </c>
      <c r="F14" s="209">
        <f t="shared" si="1"/>
        <v>11.597600000000002</v>
      </c>
      <c r="N14" s="210"/>
      <c r="Q14" s="212"/>
    </row>
    <row r="15" spans="2:17" x14ac:dyDescent="0.3">
      <c r="B15" s="206" t="s">
        <v>448</v>
      </c>
      <c r="C15" s="207">
        <v>18.07</v>
      </c>
      <c r="D15" s="208">
        <f t="shared" si="0"/>
        <v>19.696300000000001</v>
      </c>
      <c r="E15" s="207">
        <v>2</v>
      </c>
      <c r="F15" s="209">
        <f t="shared" si="1"/>
        <v>39.392600000000002</v>
      </c>
      <c r="N15" s="210"/>
      <c r="Q15" s="212"/>
    </row>
    <row r="16" spans="2:17" x14ac:dyDescent="0.3">
      <c r="B16" s="206" t="s">
        <v>449</v>
      </c>
      <c r="C16" s="207">
        <v>17.940000000000001</v>
      </c>
      <c r="D16" s="208">
        <f t="shared" si="0"/>
        <v>19.554600000000004</v>
      </c>
      <c r="E16" s="207">
        <v>2</v>
      </c>
      <c r="F16" s="209">
        <f t="shared" si="1"/>
        <v>39.109200000000008</v>
      </c>
      <c r="N16" s="210"/>
      <c r="Q16" s="212"/>
    </row>
    <row r="17" spans="2:17" x14ac:dyDescent="0.3">
      <c r="B17" s="206" t="s">
        <v>450</v>
      </c>
      <c r="C17" s="207">
        <v>8.7799999999999994</v>
      </c>
      <c r="D17" s="208">
        <f t="shared" si="0"/>
        <v>9.5701999999999998</v>
      </c>
      <c r="E17" s="207">
        <v>2</v>
      </c>
      <c r="F17" s="209">
        <f t="shared" si="1"/>
        <v>19.1404</v>
      </c>
      <c r="N17" s="210"/>
      <c r="Q17" s="212"/>
    </row>
    <row r="18" spans="2:17" x14ac:dyDescent="0.3">
      <c r="B18" s="206" t="s">
        <v>451</v>
      </c>
      <c r="C18" s="207">
        <v>6.8</v>
      </c>
      <c r="D18" s="208">
        <f t="shared" si="0"/>
        <v>7.4119999999999999</v>
      </c>
      <c r="E18" s="207">
        <v>2</v>
      </c>
      <c r="F18" s="209">
        <f t="shared" si="1"/>
        <v>14.824</v>
      </c>
      <c r="N18" s="210"/>
      <c r="Q18" s="212"/>
    </row>
    <row r="19" spans="2:17" ht="28.8" x14ac:dyDescent="0.3">
      <c r="B19" s="206" t="s">
        <v>452</v>
      </c>
      <c r="C19" s="207">
        <v>67.849999999999994</v>
      </c>
      <c r="D19" s="208">
        <f t="shared" si="0"/>
        <v>73.956500000000005</v>
      </c>
      <c r="E19" s="207">
        <v>2</v>
      </c>
      <c r="F19" s="209">
        <f t="shared" si="1"/>
        <v>147.91300000000001</v>
      </c>
      <c r="N19" s="210"/>
      <c r="Q19" s="212"/>
    </row>
    <row r="20" spans="2:17" x14ac:dyDescent="0.3">
      <c r="E20" s="212"/>
      <c r="F20" s="213"/>
      <c r="G20" s="214"/>
    </row>
    <row r="21" spans="2:17" ht="44.25" customHeight="1" x14ac:dyDescent="0.3">
      <c r="B21" s="273" t="s">
        <v>453</v>
      </c>
      <c r="C21" s="274"/>
      <c r="D21" s="274"/>
      <c r="E21" s="274"/>
      <c r="F21" s="274"/>
      <c r="G21" s="214"/>
    </row>
    <row r="23" spans="2:17" x14ac:dyDescent="0.3">
      <c r="B23" s="215" t="s">
        <v>454</v>
      </c>
    </row>
    <row r="25" spans="2:17" ht="15.6" x14ac:dyDescent="0.3">
      <c r="B25" s="216" t="s">
        <v>455</v>
      </c>
    </row>
    <row r="26" spans="2:17" ht="43.2" x14ac:dyDescent="0.3">
      <c r="B26" s="204" t="s">
        <v>456</v>
      </c>
      <c r="C26" s="204" t="s">
        <v>457</v>
      </c>
      <c r="D26" s="204" t="s">
        <v>458</v>
      </c>
      <c r="E26" s="205" t="s">
        <v>459</v>
      </c>
      <c r="F26" s="205" t="s">
        <v>460</v>
      </c>
    </row>
    <row r="27" spans="2:17" x14ac:dyDescent="0.3">
      <c r="B27" s="206" t="s">
        <v>299</v>
      </c>
      <c r="C27" s="217">
        <v>1890</v>
      </c>
      <c r="D27" s="218">
        <v>20.7</v>
      </c>
      <c r="E27" s="219">
        <f>C27/D27</f>
        <v>91.304347826086953</v>
      </c>
      <c r="F27" s="220">
        <f>ROUND(D27*100,-3)</f>
        <v>2000</v>
      </c>
    </row>
    <row r="28" spans="2:17" x14ac:dyDescent="0.3">
      <c r="B28" s="206" t="s">
        <v>461</v>
      </c>
      <c r="C28" s="217">
        <v>2380</v>
      </c>
      <c r="D28" s="218">
        <v>24</v>
      </c>
      <c r="E28" s="219">
        <f t="shared" ref="E28:E33" si="2">C28/D28</f>
        <v>99.166666666666671</v>
      </c>
      <c r="F28" s="220">
        <f t="shared" ref="F28:F33" si="3">ROUND(D28*100,-3)</f>
        <v>2000</v>
      </c>
    </row>
    <row r="29" spans="2:17" x14ac:dyDescent="0.3">
      <c r="B29" s="206" t="s">
        <v>462</v>
      </c>
      <c r="C29" s="217">
        <v>2138.33</v>
      </c>
      <c r="D29" s="218">
        <v>21.7</v>
      </c>
      <c r="E29" s="219">
        <f t="shared" si="2"/>
        <v>98.540552995391707</v>
      </c>
      <c r="F29" s="220">
        <f t="shared" si="3"/>
        <v>2000</v>
      </c>
    </row>
    <row r="30" spans="2:17" x14ac:dyDescent="0.3">
      <c r="B30" s="206" t="s">
        <v>463</v>
      </c>
      <c r="C30" s="217">
        <v>1080</v>
      </c>
      <c r="D30" s="218">
        <v>6</v>
      </c>
      <c r="E30" s="219">
        <f t="shared" si="2"/>
        <v>180</v>
      </c>
      <c r="F30" s="220">
        <f t="shared" si="3"/>
        <v>1000</v>
      </c>
    </row>
    <row r="31" spans="2:17" x14ac:dyDescent="0.3">
      <c r="B31" s="206" t="s">
        <v>464</v>
      </c>
      <c r="C31" s="217">
        <v>1080</v>
      </c>
      <c r="D31" s="218">
        <v>6</v>
      </c>
      <c r="E31" s="219">
        <f t="shared" si="2"/>
        <v>180</v>
      </c>
      <c r="F31" s="220">
        <f t="shared" si="3"/>
        <v>1000</v>
      </c>
    </row>
    <row r="32" spans="2:17" x14ac:dyDescent="0.3">
      <c r="B32" s="206" t="s">
        <v>465</v>
      </c>
      <c r="C32" s="217">
        <v>3060</v>
      </c>
      <c r="D32" s="218">
        <v>28</v>
      </c>
      <c r="E32" s="219">
        <f t="shared" si="2"/>
        <v>109.28571428571429</v>
      </c>
      <c r="F32" s="220">
        <f t="shared" si="3"/>
        <v>3000</v>
      </c>
    </row>
    <row r="33" spans="2:9" x14ac:dyDescent="0.3">
      <c r="B33" s="206" t="s">
        <v>449</v>
      </c>
      <c r="C33" s="217">
        <v>2807.5</v>
      </c>
      <c r="D33" s="218">
        <v>28.5</v>
      </c>
      <c r="E33" s="219">
        <f t="shared" si="2"/>
        <v>98.508771929824562</v>
      </c>
      <c r="F33" s="220">
        <f t="shared" si="3"/>
        <v>3000</v>
      </c>
    </row>
    <row r="34" spans="2:9" x14ac:dyDescent="0.3">
      <c r="B34" t="s">
        <v>466</v>
      </c>
    </row>
    <row r="35" spans="2:9" x14ac:dyDescent="0.3">
      <c r="B35" s="200" t="s">
        <v>467</v>
      </c>
    </row>
    <row r="36" spans="2:9" x14ac:dyDescent="0.3">
      <c r="B36" s="199"/>
    </row>
    <row r="37" spans="2:9" x14ac:dyDescent="0.3">
      <c r="E37" s="200"/>
      <c r="F37" s="200"/>
      <c r="G37" s="221"/>
      <c r="H37" s="200"/>
    </row>
    <row r="38" spans="2:9" x14ac:dyDescent="0.3">
      <c r="B38" s="222"/>
      <c r="C38" s="200"/>
      <c r="D38" s="223"/>
      <c r="G38" s="221"/>
    </row>
    <row r="39" spans="2:9" x14ac:dyDescent="0.3">
      <c r="B39" s="224"/>
      <c r="C39" s="224"/>
      <c r="D39" s="225"/>
      <c r="F39" s="211"/>
      <c r="G39" s="226"/>
      <c r="H39" s="226"/>
    </row>
    <row r="40" spans="2:9" x14ac:dyDescent="0.3">
      <c r="B40" s="227"/>
      <c r="C40" s="224"/>
      <c r="D40" s="225"/>
      <c r="F40" s="211"/>
      <c r="G40" s="226"/>
      <c r="H40" s="226"/>
    </row>
    <row r="41" spans="2:9" x14ac:dyDescent="0.3">
      <c r="B41" s="224"/>
      <c r="D41" s="225"/>
      <c r="F41" s="211"/>
      <c r="G41" s="226"/>
      <c r="H41" s="226"/>
    </row>
    <row r="42" spans="2:9" x14ac:dyDescent="0.3">
      <c r="B42" s="224"/>
      <c r="C42" s="224"/>
      <c r="D42" s="225"/>
      <c r="F42" s="211"/>
      <c r="G42" s="226"/>
      <c r="H42" s="226"/>
    </row>
    <row r="43" spans="2:9" x14ac:dyDescent="0.3">
      <c r="B43" s="224"/>
      <c r="D43" s="225"/>
      <c r="F43" s="211"/>
      <c r="G43" s="226"/>
      <c r="H43" s="226"/>
    </row>
    <row r="44" spans="2:9" x14ac:dyDescent="0.3">
      <c r="B44" s="224"/>
      <c r="D44" s="225"/>
      <c r="F44" s="211"/>
      <c r="G44" s="226"/>
      <c r="H44" s="226"/>
    </row>
    <row r="45" spans="2:9" x14ac:dyDescent="0.3">
      <c r="B45" s="224"/>
      <c r="D45" s="228"/>
      <c r="F45" s="211"/>
      <c r="G45" s="226"/>
      <c r="H45" s="229"/>
    </row>
    <row r="46" spans="2:9" x14ac:dyDescent="0.3">
      <c r="B46" s="224"/>
      <c r="D46" s="228"/>
      <c r="F46" s="211"/>
      <c r="G46" s="226"/>
      <c r="H46" s="229"/>
    </row>
    <row r="47" spans="2:9" x14ac:dyDescent="0.3">
      <c r="B47" s="224"/>
      <c r="C47" s="275"/>
      <c r="D47" s="275"/>
      <c r="E47" s="275"/>
      <c r="H47" s="226"/>
    </row>
    <row r="48" spans="2:9" x14ac:dyDescent="0.3">
      <c r="E48" s="230"/>
      <c r="F48" s="231"/>
      <c r="H48" s="232"/>
      <c r="I48" s="233"/>
    </row>
    <row r="49" spans="6:9" x14ac:dyDescent="0.3">
      <c r="F49" s="211"/>
      <c r="H49" s="232"/>
      <c r="I49" s="199"/>
    </row>
    <row r="50" spans="6:9" x14ac:dyDescent="0.3">
      <c r="F50" s="232"/>
    </row>
  </sheetData>
  <mergeCells count="2">
    <mergeCell ref="B21:F21"/>
    <mergeCell ref="C47:E47"/>
  </mergeCells>
  <hyperlinks>
    <hyperlink ref="B2" r:id="rId1" xr:uid="{0BDD5966-55CA-4793-8EB0-719505947DF3}"/>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E98E1-C689-43F8-827D-CE37DDFF8486}">
  <dimension ref="A1:W44"/>
  <sheetViews>
    <sheetView topLeftCell="G1" zoomScale="80" zoomScaleNormal="80" workbookViewId="0">
      <pane ySplit="2" topLeftCell="A3" activePane="bottomLeft" state="frozen"/>
      <selection pane="bottomLeft" activeCell="L9" sqref="L9"/>
    </sheetView>
  </sheetViews>
  <sheetFormatPr defaultColWidth="9.21875" defaultRowHeight="15" x14ac:dyDescent="0.3"/>
  <cols>
    <col min="1" max="1" width="7.44140625" style="1" bestFit="1" customWidth="1"/>
    <col min="2" max="2" width="6.21875" style="1" customWidth="1"/>
    <col min="3" max="3" width="4.44140625" style="1" customWidth="1"/>
    <col min="4" max="4" width="6.21875" style="1" customWidth="1"/>
    <col min="5" max="5" width="89.77734375" style="107" customWidth="1"/>
    <col min="6" max="6" width="15.77734375" style="1" customWidth="1"/>
    <col min="7" max="7" width="23.21875" style="1" customWidth="1"/>
    <col min="8" max="8" width="12.5546875" style="1" customWidth="1"/>
    <col min="9" max="9" width="15.77734375" style="1" customWidth="1"/>
    <col min="10" max="10" width="8.5546875" style="1" customWidth="1"/>
    <col min="11" max="11" width="9.21875" style="1" customWidth="1"/>
    <col min="12" max="12" width="7" style="1" customWidth="1"/>
    <col min="13" max="13" width="8.21875" style="1" customWidth="1"/>
    <col min="14" max="14" width="9.77734375" style="1" customWidth="1"/>
    <col min="15" max="15" width="9.21875" style="1" customWidth="1"/>
    <col min="16" max="16" width="15.77734375" style="1" customWidth="1"/>
    <col min="17" max="17" width="8.21875" style="1" customWidth="1"/>
    <col min="18" max="18" width="18.44140625" style="37" customWidth="1"/>
    <col min="19" max="19" width="17.77734375" style="37" customWidth="1"/>
    <col min="20" max="20" width="14.5546875" style="37" customWidth="1"/>
    <col min="21" max="21" width="17" style="37" customWidth="1"/>
    <col min="22" max="22" width="7.44140625" style="3" bestFit="1" customWidth="1"/>
    <col min="23" max="16384" width="9.21875" style="1"/>
  </cols>
  <sheetData>
    <row r="1" spans="1:22" s="5" customFormat="1" x14ac:dyDescent="0.3">
      <c r="A1" s="276" t="s">
        <v>217</v>
      </c>
      <c r="B1" s="276"/>
      <c r="C1" s="276"/>
      <c r="D1" s="276"/>
      <c r="E1" s="276"/>
      <c r="F1" s="277" t="s">
        <v>216</v>
      </c>
      <c r="G1" s="277"/>
      <c r="H1" s="278" t="s">
        <v>214</v>
      </c>
      <c r="I1" s="278"/>
      <c r="J1" s="278"/>
      <c r="K1" s="278"/>
      <c r="L1" s="278"/>
      <c r="M1" s="278"/>
      <c r="N1" s="279" t="s">
        <v>215</v>
      </c>
      <c r="O1" s="279"/>
      <c r="P1" s="279"/>
      <c r="Q1" s="279"/>
      <c r="R1" s="280" t="s">
        <v>225</v>
      </c>
      <c r="S1" s="280"/>
      <c r="T1" s="280"/>
      <c r="U1" s="280"/>
      <c r="V1" s="25"/>
    </row>
    <row r="2" spans="1:22" x14ac:dyDescent="0.3">
      <c r="A2" s="24" t="s">
        <v>2</v>
      </c>
      <c r="B2" s="24" t="s">
        <v>11</v>
      </c>
      <c r="C2" s="12" t="s">
        <v>0</v>
      </c>
      <c r="D2" s="12" t="s">
        <v>1</v>
      </c>
      <c r="E2" s="108" t="s">
        <v>29</v>
      </c>
      <c r="F2" s="23" t="s">
        <v>209</v>
      </c>
      <c r="G2" s="23" t="s">
        <v>189</v>
      </c>
      <c r="H2" s="10" t="s">
        <v>184</v>
      </c>
      <c r="I2" s="10" t="s">
        <v>185</v>
      </c>
      <c r="J2" s="10" t="s">
        <v>186</v>
      </c>
      <c r="K2" s="10" t="s">
        <v>187</v>
      </c>
      <c r="L2" s="10" t="s">
        <v>188</v>
      </c>
      <c r="M2" s="10" t="s">
        <v>192</v>
      </c>
      <c r="N2" s="11" t="s">
        <v>187</v>
      </c>
      <c r="O2" s="11" t="s">
        <v>190</v>
      </c>
      <c r="P2" s="11" t="s">
        <v>191</v>
      </c>
      <c r="Q2" s="11" t="s">
        <v>192</v>
      </c>
      <c r="R2" s="32" t="s">
        <v>227</v>
      </c>
      <c r="S2" s="32" t="s">
        <v>220</v>
      </c>
      <c r="T2" s="32" t="s">
        <v>221</v>
      </c>
      <c r="U2" s="32" t="s">
        <v>222</v>
      </c>
      <c r="V2" s="9"/>
    </row>
    <row r="3" spans="1:22" s="16" customFormat="1" ht="30" x14ac:dyDescent="0.3">
      <c r="A3" s="18" t="s">
        <v>41</v>
      </c>
      <c r="B3" s="13"/>
      <c r="C3" s="14">
        <v>43.412058999999999</v>
      </c>
      <c r="D3" s="14">
        <v>-71.249791999999999</v>
      </c>
      <c r="E3" s="109" t="s">
        <v>152</v>
      </c>
      <c r="F3" s="16" t="s">
        <v>203</v>
      </c>
      <c r="G3" s="16" t="s">
        <v>210</v>
      </c>
      <c r="H3" s="16">
        <v>1.25</v>
      </c>
      <c r="I3" s="16">
        <v>1.25</v>
      </c>
      <c r="J3" s="16">
        <v>0.5</v>
      </c>
      <c r="K3" s="16">
        <v>200</v>
      </c>
      <c r="L3" s="16">
        <v>2</v>
      </c>
      <c r="M3" s="16">
        <v>1</v>
      </c>
      <c r="R3" s="33">
        <v>3.125</v>
      </c>
      <c r="S3" s="33">
        <f>R3*2000</f>
        <v>6250</v>
      </c>
      <c r="T3" s="33">
        <v>2.65625</v>
      </c>
      <c r="U3" s="33">
        <v>5.3125</v>
      </c>
      <c r="V3" s="17"/>
    </row>
    <row r="4" spans="1:22" s="16" customFormat="1" x14ac:dyDescent="0.3">
      <c r="A4" s="18" t="s">
        <v>42</v>
      </c>
      <c r="B4" s="13"/>
      <c r="C4" s="14">
        <v>43.410071000000002</v>
      </c>
      <c r="D4" s="14">
        <v>-71.238198999999994</v>
      </c>
      <c r="E4" s="109" t="s">
        <v>153</v>
      </c>
      <c r="F4" s="16" t="s">
        <v>198</v>
      </c>
      <c r="G4" s="16" t="s">
        <v>210</v>
      </c>
      <c r="H4" s="16">
        <v>1</v>
      </c>
      <c r="I4" s="16">
        <v>1</v>
      </c>
      <c r="J4" s="16">
        <v>0.5</v>
      </c>
      <c r="K4" s="16">
        <v>100</v>
      </c>
      <c r="L4" s="16">
        <v>2</v>
      </c>
      <c r="M4" s="16">
        <v>1</v>
      </c>
      <c r="R4" s="33">
        <v>1.25</v>
      </c>
      <c r="S4" s="33">
        <f t="shared" ref="S4:S37" si="0">R4*2000</f>
        <v>2500</v>
      </c>
      <c r="T4" s="33">
        <v>1.0625</v>
      </c>
      <c r="U4" s="33">
        <v>2.125</v>
      </c>
      <c r="V4" s="17"/>
    </row>
    <row r="5" spans="1:22" s="16" customFormat="1" x14ac:dyDescent="0.3">
      <c r="A5" s="13" t="s">
        <v>181</v>
      </c>
      <c r="B5" s="13"/>
      <c r="C5" s="14">
        <v>43.430968</v>
      </c>
      <c r="D5" s="14">
        <v>-71.265052999999995</v>
      </c>
      <c r="E5" s="109" t="s">
        <v>136</v>
      </c>
      <c r="F5" s="16" t="s">
        <v>199</v>
      </c>
      <c r="G5" s="16" t="s">
        <v>210</v>
      </c>
      <c r="H5" s="16">
        <v>1</v>
      </c>
      <c r="I5" s="16">
        <v>1.25</v>
      </c>
      <c r="J5" s="16">
        <v>0.5</v>
      </c>
      <c r="K5" s="16">
        <v>80</v>
      </c>
      <c r="L5" s="16">
        <v>2</v>
      </c>
      <c r="M5" s="16">
        <v>1</v>
      </c>
      <c r="R5" s="33">
        <v>1.125</v>
      </c>
      <c r="S5" s="33">
        <f t="shared" si="0"/>
        <v>2250</v>
      </c>
      <c r="T5" s="33">
        <v>0.95625000000000016</v>
      </c>
      <c r="U5" s="33">
        <v>1.9125000000000003</v>
      </c>
      <c r="V5" s="17"/>
    </row>
    <row r="6" spans="1:22" s="16" customFormat="1" x14ac:dyDescent="0.3">
      <c r="A6" s="18">
        <v>20</v>
      </c>
      <c r="B6" s="18"/>
      <c r="C6" s="14">
        <v>43.472817999999997</v>
      </c>
      <c r="D6" s="14">
        <v>-71.158805999999998</v>
      </c>
      <c r="E6" s="110" t="s">
        <v>86</v>
      </c>
      <c r="F6" s="16" t="s">
        <v>194</v>
      </c>
      <c r="G6" s="16" t="s">
        <v>210</v>
      </c>
      <c r="N6" s="16">
        <v>15</v>
      </c>
      <c r="O6" s="16">
        <v>3</v>
      </c>
      <c r="P6" s="16">
        <v>0.5</v>
      </c>
      <c r="Q6" s="16">
        <v>1</v>
      </c>
      <c r="R6" s="33">
        <v>1.125</v>
      </c>
      <c r="S6" s="33">
        <f t="shared" si="0"/>
        <v>2250</v>
      </c>
      <c r="T6" s="33">
        <v>0.95625000000000016</v>
      </c>
      <c r="U6" s="33">
        <v>1.9125000000000003</v>
      </c>
      <c r="V6" s="17"/>
    </row>
    <row r="7" spans="1:22" s="16" customFormat="1" ht="30" x14ac:dyDescent="0.3">
      <c r="A7" s="13" t="s">
        <v>40</v>
      </c>
      <c r="B7" s="13"/>
      <c r="C7" s="14">
        <v>43.441434000000001</v>
      </c>
      <c r="D7" s="14">
        <v>-71.208599000000007</v>
      </c>
      <c r="E7" s="109" t="s">
        <v>151</v>
      </c>
      <c r="F7" s="16" t="s">
        <v>208</v>
      </c>
      <c r="G7" s="16" t="s">
        <v>211</v>
      </c>
      <c r="H7" s="16">
        <v>2</v>
      </c>
      <c r="I7" s="16">
        <v>1.5</v>
      </c>
      <c r="J7" s="16">
        <v>0.5</v>
      </c>
      <c r="K7" s="16">
        <v>100</v>
      </c>
      <c r="L7" s="16">
        <v>2</v>
      </c>
      <c r="M7" s="16">
        <v>1</v>
      </c>
      <c r="R7" s="33">
        <v>2.296875</v>
      </c>
      <c r="S7" s="33">
        <f t="shared" si="0"/>
        <v>4593.75</v>
      </c>
      <c r="T7" s="33">
        <v>1.95234375</v>
      </c>
      <c r="U7" s="33">
        <v>3.9046875000000001</v>
      </c>
      <c r="V7" s="17"/>
    </row>
    <row r="8" spans="1:22" s="16" customFormat="1" x14ac:dyDescent="0.3">
      <c r="A8" s="13" t="s">
        <v>180</v>
      </c>
      <c r="B8" s="13"/>
      <c r="C8" s="14">
        <v>43.425215999999999</v>
      </c>
      <c r="D8" s="14">
        <v>-71.261674999999997</v>
      </c>
      <c r="E8" s="109" t="s">
        <v>134</v>
      </c>
      <c r="F8" s="16" t="s">
        <v>200</v>
      </c>
      <c r="G8" s="16" t="s">
        <v>210</v>
      </c>
      <c r="H8" s="16">
        <v>0.75</v>
      </c>
      <c r="I8" s="16">
        <v>3</v>
      </c>
      <c r="J8" s="16">
        <v>0.25</v>
      </c>
      <c r="K8" s="16">
        <v>20</v>
      </c>
      <c r="L8" s="16">
        <v>4</v>
      </c>
      <c r="M8" s="16">
        <v>1</v>
      </c>
      <c r="R8" s="33">
        <v>0.1171875</v>
      </c>
      <c r="S8" s="33">
        <f t="shared" si="0"/>
        <v>234.375</v>
      </c>
      <c r="T8" s="33">
        <v>9.9609375E-2</v>
      </c>
      <c r="U8" s="33">
        <v>0.19921875</v>
      </c>
      <c r="V8" s="17"/>
    </row>
    <row r="9" spans="1:22" s="16" customFormat="1" ht="30" x14ac:dyDescent="0.3">
      <c r="A9" s="13">
        <v>1</v>
      </c>
      <c r="B9" s="13"/>
      <c r="C9" s="16">
        <v>43.476416</v>
      </c>
      <c r="D9" s="16">
        <v>-71.168580000000006</v>
      </c>
      <c r="E9" s="109" t="s">
        <v>57</v>
      </c>
      <c r="F9" s="16" t="s">
        <v>195</v>
      </c>
      <c r="G9" s="16" t="s">
        <v>210</v>
      </c>
      <c r="H9" s="16">
        <v>2</v>
      </c>
      <c r="I9" s="16">
        <v>1</v>
      </c>
      <c r="J9" s="16">
        <v>0.75</v>
      </c>
      <c r="K9" s="16">
        <v>50</v>
      </c>
      <c r="L9" s="16">
        <v>10</v>
      </c>
      <c r="M9" s="16">
        <v>1</v>
      </c>
      <c r="N9" s="15"/>
      <c r="R9" s="33">
        <v>0.28125</v>
      </c>
      <c r="S9" s="33">
        <f t="shared" si="0"/>
        <v>562.5</v>
      </c>
      <c r="T9" s="33">
        <v>0.23906250000000004</v>
      </c>
      <c r="U9" s="33">
        <v>0.47812500000000008</v>
      </c>
      <c r="V9" s="18"/>
    </row>
    <row r="10" spans="1:22" s="16" customFormat="1" x14ac:dyDescent="0.3">
      <c r="A10" s="13">
        <v>7</v>
      </c>
      <c r="B10" s="13"/>
      <c r="C10" s="16">
        <v>43.477479000000002</v>
      </c>
      <c r="D10" s="16">
        <v>-71.180087999999998</v>
      </c>
      <c r="E10" s="109" t="s">
        <v>71</v>
      </c>
      <c r="F10" s="16" t="s">
        <v>195</v>
      </c>
      <c r="G10" s="16" t="s">
        <v>210</v>
      </c>
      <c r="N10" s="16">
        <v>10</v>
      </c>
      <c r="O10" s="16">
        <v>2</v>
      </c>
      <c r="P10" s="16">
        <v>0.3</v>
      </c>
      <c r="Q10" s="16">
        <v>1</v>
      </c>
      <c r="R10" s="33">
        <v>0.30000000000000004</v>
      </c>
      <c r="S10" s="33">
        <f t="shared" si="0"/>
        <v>600.00000000000011</v>
      </c>
      <c r="T10" s="33">
        <v>0.255</v>
      </c>
      <c r="U10" s="33">
        <v>0.51</v>
      </c>
      <c r="V10" s="18"/>
    </row>
    <row r="11" spans="1:22" s="16" customFormat="1" x14ac:dyDescent="0.3">
      <c r="A11" s="13">
        <v>10</v>
      </c>
      <c r="B11" s="13"/>
      <c r="C11" s="16">
        <v>43.491669999999999</v>
      </c>
      <c r="D11" s="16">
        <v>-71.161940000000001</v>
      </c>
      <c r="E11" s="109" t="s">
        <v>77</v>
      </c>
      <c r="F11" s="16" t="s">
        <v>195</v>
      </c>
      <c r="G11" s="16" t="s">
        <v>224</v>
      </c>
      <c r="H11" s="16">
        <v>1.5</v>
      </c>
      <c r="I11" s="16">
        <v>1.25</v>
      </c>
      <c r="J11" s="16">
        <v>0.5</v>
      </c>
      <c r="K11" s="16">
        <v>4</v>
      </c>
      <c r="L11" s="16">
        <v>0.2</v>
      </c>
      <c r="M11" s="16">
        <v>1</v>
      </c>
      <c r="R11" s="33">
        <v>0.75624999999999998</v>
      </c>
      <c r="S11" s="33">
        <f t="shared" si="0"/>
        <v>1512.5</v>
      </c>
      <c r="T11" s="33">
        <v>0.64281250000000001</v>
      </c>
      <c r="U11" s="33">
        <v>1.285625</v>
      </c>
      <c r="V11" s="18"/>
    </row>
    <row r="12" spans="1:22" s="16" customFormat="1" x14ac:dyDescent="0.3">
      <c r="A12" s="13">
        <v>11</v>
      </c>
      <c r="B12" s="13"/>
      <c r="C12" s="16">
        <v>43.49333</v>
      </c>
      <c r="D12" s="16">
        <v>-71.156940000000006</v>
      </c>
      <c r="E12" s="109" t="s">
        <v>79</v>
      </c>
      <c r="F12" s="16" t="s">
        <v>194</v>
      </c>
      <c r="G12" s="16" t="s">
        <v>224</v>
      </c>
      <c r="H12" s="16">
        <v>3</v>
      </c>
      <c r="I12" s="16">
        <v>3</v>
      </c>
      <c r="J12" s="16">
        <v>0.75</v>
      </c>
      <c r="K12" s="16">
        <v>8</v>
      </c>
      <c r="L12" s="16">
        <v>1</v>
      </c>
      <c r="M12" s="16">
        <v>1</v>
      </c>
      <c r="R12" s="33">
        <v>0.99</v>
      </c>
      <c r="S12" s="33">
        <f t="shared" si="0"/>
        <v>1980</v>
      </c>
      <c r="T12" s="33">
        <v>0.84150000000000003</v>
      </c>
      <c r="U12" s="33">
        <v>1.6830000000000001</v>
      </c>
      <c r="V12" s="18"/>
    </row>
    <row r="13" spans="1:22" s="16" customFormat="1" x14ac:dyDescent="0.3">
      <c r="A13" s="13">
        <v>12</v>
      </c>
      <c r="B13" s="13"/>
      <c r="C13" s="16">
        <v>43.494169999999997</v>
      </c>
      <c r="D13" s="16">
        <v>-71.156390000000002</v>
      </c>
      <c r="E13" s="109" t="s">
        <v>80</v>
      </c>
      <c r="F13" s="16" t="s">
        <v>194</v>
      </c>
      <c r="G13" s="16" t="s">
        <v>210</v>
      </c>
      <c r="H13" s="16">
        <v>0.25</v>
      </c>
      <c r="I13" s="16">
        <v>1</v>
      </c>
      <c r="J13" s="16">
        <v>0.25</v>
      </c>
      <c r="K13" s="16">
        <v>100</v>
      </c>
      <c r="L13" s="16">
        <v>3</v>
      </c>
      <c r="M13" s="16">
        <v>1</v>
      </c>
      <c r="R13" s="33">
        <v>0.26041666666666669</v>
      </c>
      <c r="S13" s="33">
        <f t="shared" si="0"/>
        <v>520.83333333333337</v>
      </c>
      <c r="T13" s="33">
        <v>0.22135416666666671</v>
      </c>
      <c r="U13" s="33">
        <v>0.44270833333333343</v>
      </c>
      <c r="V13" s="18"/>
    </row>
    <row r="14" spans="1:22" s="14" customFormat="1" x14ac:dyDescent="0.3">
      <c r="A14" s="18">
        <v>13</v>
      </c>
      <c r="B14" s="18" t="s">
        <v>12</v>
      </c>
      <c r="C14" s="14">
        <v>43.499872000000003</v>
      </c>
      <c r="D14" s="14">
        <v>-71.151302999999999</v>
      </c>
      <c r="E14" s="110" t="s">
        <v>15</v>
      </c>
      <c r="F14" s="14" t="s">
        <v>193</v>
      </c>
      <c r="G14" s="14" t="s">
        <v>212</v>
      </c>
      <c r="H14" s="14">
        <v>1</v>
      </c>
      <c r="I14" s="14">
        <v>1.5</v>
      </c>
      <c r="J14" s="14">
        <v>0.5</v>
      </c>
      <c r="K14" s="14">
        <v>50</v>
      </c>
      <c r="L14" s="14">
        <v>2</v>
      </c>
      <c r="M14" s="14">
        <v>1</v>
      </c>
      <c r="R14" s="39">
        <v>0.78125</v>
      </c>
      <c r="S14" s="39">
        <f t="shared" si="0"/>
        <v>1562.5</v>
      </c>
      <c r="T14" s="39">
        <v>0.6640625</v>
      </c>
      <c r="U14" s="39">
        <v>1.328125</v>
      </c>
      <c r="V14" s="18"/>
    </row>
    <row r="15" spans="1:22" s="16" customFormat="1" x14ac:dyDescent="0.3">
      <c r="A15" s="13">
        <v>14</v>
      </c>
      <c r="B15" s="13"/>
      <c r="C15" s="16">
        <v>43.498060000000002</v>
      </c>
      <c r="D15" s="16">
        <v>-71.15889</v>
      </c>
      <c r="E15" s="109" t="s">
        <v>6</v>
      </c>
      <c r="F15" s="16" t="s">
        <v>194</v>
      </c>
      <c r="G15" s="16" t="s">
        <v>210</v>
      </c>
      <c r="H15" s="16">
        <v>2</v>
      </c>
      <c r="I15" s="16">
        <v>0.5</v>
      </c>
      <c r="J15" s="16">
        <v>0.75</v>
      </c>
      <c r="K15" s="16">
        <v>2</v>
      </c>
      <c r="L15" s="16">
        <v>0.5</v>
      </c>
      <c r="M15" s="16">
        <v>1</v>
      </c>
      <c r="R15" s="39">
        <v>0.1875</v>
      </c>
      <c r="S15" s="33">
        <f t="shared" si="0"/>
        <v>375</v>
      </c>
      <c r="T15" s="39">
        <v>0.15937499999999999</v>
      </c>
      <c r="U15" s="39">
        <v>0.31874999999999998</v>
      </c>
      <c r="V15" s="18"/>
    </row>
    <row r="16" spans="1:22" s="16" customFormat="1" x14ac:dyDescent="0.3">
      <c r="A16" s="13">
        <v>17</v>
      </c>
      <c r="B16" s="13"/>
      <c r="C16" s="16">
        <v>43.49194</v>
      </c>
      <c r="D16" s="16">
        <v>-71.161389999999997</v>
      </c>
      <c r="E16" s="109" t="s">
        <v>84</v>
      </c>
      <c r="F16" s="16" t="s">
        <v>195</v>
      </c>
      <c r="G16" s="16" t="s">
        <v>224</v>
      </c>
      <c r="H16" s="16">
        <v>2</v>
      </c>
      <c r="I16" s="16">
        <v>0.5</v>
      </c>
      <c r="J16" s="16">
        <v>1</v>
      </c>
      <c r="K16" s="16">
        <v>6</v>
      </c>
      <c r="L16" s="16">
        <v>0.5</v>
      </c>
      <c r="M16" s="16">
        <v>1</v>
      </c>
      <c r="R16" s="33">
        <v>0.82499999999999996</v>
      </c>
      <c r="S16" s="33">
        <f t="shared" si="0"/>
        <v>1650</v>
      </c>
      <c r="T16" s="33">
        <v>0.70124999999999993</v>
      </c>
      <c r="U16" s="33">
        <v>1.4024999999999999</v>
      </c>
      <c r="V16" s="18"/>
    </row>
    <row r="17" spans="1:22" s="16" customFormat="1" x14ac:dyDescent="0.3">
      <c r="A17" s="18">
        <v>21</v>
      </c>
      <c r="B17" s="18"/>
      <c r="C17" s="14">
        <v>43.489668000000002</v>
      </c>
      <c r="D17" s="14">
        <v>-71.136114000000006</v>
      </c>
      <c r="E17" s="110" t="s">
        <v>8</v>
      </c>
      <c r="F17" s="16" t="s">
        <v>195</v>
      </c>
      <c r="G17" s="16" t="s">
        <v>224</v>
      </c>
      <c r="H17" s="16">
        <v>1.5</v>
      </c>
      <c r="I17" s="16">
        <v>0.5</v>
      </c>
      <c r="J17" s="16">
        <v>0.25</v>
      </c>
      <c r="K17" s="16">
        <v>30</v>
      </c>
      <c r="L17" s="16">
        <v>3</v>
      </c>
      <c r="M17" s="16">
        <v>1</v>
      </c>
      <c r="R17" s="33">
        <v>0.13749999999999998</v>
      </c>
      <c r="S17" s="33">
        <f t="shared" si="0"/>
        <v>274.99999999999994</v>
      </c>
      <c r="T17" s="33">
        <v>0.11687499999999998</v>
      </c>
      <c r="U17" s="33">
        <v>0.23374999999999996</v>
      </c>
      <c r="V17" s="18"/>
    </row>
    <row r="18" spans="1:22" s="14" customFormat="1" x14ac:dyDescent="0.3">
      <c r="A18" s="18">
        <v>22</v>
      </c>
      <c r="B18" s="18"/>
      <c r="C18" s="14">
        <v>43.489646999999998</v>
      </c>
      <c r="D18" s="14">
        <v>-71.134451999999996</v>
      </c>
      <c r="E18" s="110" t="s">
        <v>9</v>
      </c>
      <c r="F18" s="14" t="s">
        <v>195</v>
      </c>
      <c r="G18" s="14" t="s">
        <v>224</v>
      </c>
      <c r="H18" s="14">
        <v>1.5</v>
      </c>
      <c r="I18" s="14">
        <v>0.5</v>
      </c>
      <c r="J18" s="14">
        <v>0.25</v>
      </c>
      <c r="K18" s="14">
        <v>30</v>
      </c>
      <c r="L18" s="14">
        <v>3</v>
      </c>
      <c r="M18" s="14">
        <v>1</v>
      </c>
      <c r="R18" s="39">
        <v>0.13749999999999998</v>
      </c>
      <c r="S18" s="33">
        <f t="shared" si="0"/>
        <v>274.99999999999994</v>
      </c>
      <c r="T18" s="39">
        <v>0.11687499999999998</v>
      </c>
      <c r="U18" s="39">
        <v>0.23374999999999996</v>
      </c>
      <c r="V18" s="18"/>
    </row>
    <row r="19" spans="1:22" s="14" customFormat="1" x14ac:dyDescent="0.3">
      <c r="A19" s="18">
        <v>23</v>
      </c>
      <c r="B19" s="18"/>
      <c r="C19" s="14">
        <v>43.490175999999998</v>
      </c>
      <c r="D19" s="14">
        <v>-71.142762000000005</v>
      </c>
      <c r="E19" s="110" t="s">
        <v>89</v>
      </c>
      <c r="F19" s="14" t="s">
        <v>195</v>
      </c>
      <c r="G19" s="14" t="s">
        <v>210</v>
      </c>
      <c r="H19" s="14">
        <v>1.5</v>
      </c>
      <c r="I19" s="14">
        <v>1</v>
      </c>
      <c r="J19" s="14">
        <v>0.25</v>
      </c>
      <c r="K19" s="14">
        <v>60</v>
      </c>
      <c r="L19" s="14">
        <v>2</v>
      </c>
      <c r="M19" s="14">
        <v>1</v>
      </c>
      <c r="R19" s="39">
        <v>0.46875</v>
      </c>
      <c r="S19" s="39">
        <f t="shared" si="0"/>
        <v>937.5</v>
      </c>
      <c r="T19" s="39">
        <v>0.3984375</v>
      </c>
      <c r="U19" s="39">
        <v>0.796875</v>
      </c>
      <c r="V19" s="18"/>
    </row>
    <row r="20" spans="1:22" s="14" customFormat="1" x14ac:dyDescent="0.3">
      <c r="A20" s="18">
        <v>24</v>
      </c>
      <c r="B20" s="18"/>
      <c r="C20" s="14">
        <v>43.488115999999998</v>
      </c>
      <c r="D20" s="14">
        <v>-71.149260999999996</v>
      </c>
      <c r="E20" s="110" t="s">
        <v>91</v>
      </c>
      <c r="F20" s="14" t="s">
        <v>195</v>
      </c>
      <c r="G20" s="14" t="s">
        <v>210</v>
      </c>
      <c r="H20" s="14">
        <v>2</v>
      </c>
      <c r="I20" s="14">
        <v>1</v>
      </c>
      <c r="J20" s="14">
        <v>1</v>
      </c>
      <c r="K20" s="14">
        <v>2</v>
      </c>
      <c r="L20" s="14">
        <v>2</v>
      </c>
      <c r="M20" s="14">
        <v>1</v>
      </c>
      <c r="R20" s="39">
        <v>7.5000000000000011E-2</v>
      </c>
      <c r="S20" s="33">
        <f t="shared" si="0"/>
        <v>150.00000000000003</v>
      </c>
      <c r="T20" s="39">
        <v>6.3750000000000001E-2</v>
      </c>
      <c r="U20" s="39">
        <v>0.1275</v>
      </c>
      <c r="V20" s="18"/>
    </row>
    <row r="21" spans="1:22" s="14" customFormat="1" x14ac:dyDescent="0.3">
      <c r="A21" s="18">
        <v>25</v>
      </c>
      <c r="B21" s="18"/>
      <c r="C21" s="14">
        <v>43.488179000000002</v>
      </c>
      <c r="D21" s="14">
        <v>-71.149792000000005</v>
      </c>
      <c r="E21" s="110" t="s">
        <v>93</v>
      </c>
      <c r="F21" s="14" t="s">
        <v>195</v>
      </c>
      <c r="G21" s="14" t="s">
        <v>210</v>
      </c>
      <c r="H21" s="14">
        <v>2</v>
      </c>
      <c r="I21" s="14">
        <v>3</v>
      </c>
      <c r="J21" s="14">
        <v>0.25</v>
      </c>
      <c r="K21" s="14">
        <v>10</v>
      </c>
      <c r="L21" s="14">
        <v>1</v>
      </c>
      <c r="M21" s="14">
        <v>1</v>
      </c>
      <c r="R21" s="39">
        <v>0.3125</v>
      </c>
      <c r="S21" s="33">
        <f t="shared" si="0"/>
        <v>625</v>
      </c>
      <c r="T21" s="39">
        <v>0.265625</v>
      </c>
      <c r="U21" s="39">
        <v>0.53125</v>
      </c>
      <c r="V21" s="18"/>
    </row>
    <row r="22" spans="1:22" s="14" customFormat="1" x14ac:dyDescent="0.3">
      <c r="A22" s="18">
        <v>26</v>
      </c>
      <c r="B22" s="18"/>
      <c r="C22" s="14">
        <v>43.488281999999998</v>
      </c>
      <c r="D22" s="14">
        <v>-71.150559000000001</v>
      </c>
      <c r="E22" s="110" t="s">
        <v>94</v>
      </c>
      <c r="F22" s="14" t="s">
        <v>195</v>
      </c>
      <c r="G22" s="14" t="s">
        <v>210</v>
      </c>
      <c r="H22" s="14">
        <v>2</v>
      </c>
      <c r="I22" s="14">
        <v>2</v>
      </c>
      <c r="J22" s="14">
        <v>0.5</v>
      </c>
      <c r="K22" s="14">
        <v>10</v>
      </c>
      <c r="L22" s="14">
        <v>2</v>
      </c>
      <c r="M22" s="14">
        <v>1</v>
      </c>
      <c r="R22" s="39">
        <v>0.25</v>
      </c>
      <c r="S22" s="33">
        <f t="shared" si="0"/>
        <v>500</v>
      </c>
      <c r="T22" s="39">
        <v>0.21249999999999999</v>
      </c>
      <c r="U22" s="39">
        <v>0.42499999999999999</v>
      </c>
      <c r="V22" s="18"/>
    </row>
    <row r="23" spans="1:22" s="14" customFormat="1" x14ac:dyDescent="0.3">
      <c r="A23" s="18">
        <v>27</v>
      </c>
      <c r="B23" s="18"/>
      <c r="C23" s="14">
        <v>43.481015999999997</v>
      </c>
      <c r="D23" s="14">
        <v>-71.157550000000001</v>
      </c>
      <c r="E23" s="110" t="s">
        <v>96</v>
      </c>
      <c r="F23" s="14" t="s">
        <v>193</v>
      </c>
      <c r="G23" s="14" t="s">
        <v>212</v>
      </c>
      <c r="N23" s="14">
        <v>5</v>
      </c>
      <c r="O23" s="14">
        <v>2.5</v>
      </c>
      <c r="P23" s="14">
        <v>0.3</v>
      </c>
      <c r="Q23" s="14">
        <v>1</v>
      </c>
      <c r="R23" s="39">
        <v>0.20624999999999999</v>
      </c>
      <c r="S23" s="33">
        <f t="shared" si="0"/>
        <v>412.5</v>
      </c>
      <c r="T23" s="39">
        <v>0.17531249999999998</v>
      </c>
      <c r="U23" s="39">
        <v>0.35062499999999996</v>
      </c>
      <c r="V23" s="18"/>
    </row>
    <row r="24" spans="1:22" s="14" customFormat="1" x14ac:dyDescent="0.3">
      <c r="A24" s="18">
        <v>28</v>
      </c>
      <c r="B24" s="18"/>
      <c r="C24" s="14">
        <v>43.479536000000003</v>
      </c>
      <c r="D24" s="14">
        <v>-71.157781</v>
      </c>
      <c r="E24" s="110" t="s">
        <v>98</v>
      </c>
      <c r="F24" s="14" t="s">
        <v>193</v>
      </c>
      <c r="G24" s="14" t="s">
        <v>212</v>
      </c>
      <c r="N24" s="14">
        <v>20</v>
      </c>
      <c r="O24" s="14">
        <v>1.5</v>
      </c>
      <c r="P24" s="14">
        <v>0.2</v>
      </c>
      <c r="Q24" s="14">
        <v>1</v>
      </c>
      <c r="R24" s="39">
        <v>0.33</v>
      </c>
      <c r="S24" s="33">
        <f t="shared" si="0"/>
        <v>660</v>
      </c>
      <c r="T24" s="39">
        <v>0.28050000000000003</v>
      </c>
      <c r="U24" s="39">
        <v>0.56100000000000005</v>
      </c>
      <c r="V24" s="18"/>
    </row>
    <row r="25" spans="1:22" s="14" customFormat="1" x14ac:dyDescent="0.3">
      <c r="A25" s="18" t="s">
        <v>24</v>
      </c>
      <c r="B25" s="18"/>
      <c r="C25" s="14">
        <v>43.476272000000002</v>
      </c>
      <c r="D25" s="14">
        <v>-71.178935999999993</v>
      </c>
      <c r="E25" s="110" t="s">
        <v>119</v>
      </c>
      <c r="F25" s="14" t="s">
        <v>207</v>
      </c>
      <c r="G25" s="14" t="s">
        <v>210</v>
      </c>
      <c r="H25" s="14">
        <v>1.5</v>
      </c>
      <c r="I25" s="14">
        <v>1</v>
      </c>
      <c r="J25" s="14">
        <v>0.75</v>
      </c>
      <c r="K25" s="14">
        <v>12</v>
      </c>
      <c r="L25" s="14">
        <v>3</v>
      </c>
      <c r="M25" s="14">
        <v>1</v>
      </c>
      <c r="R25" s="39">
        <v>0.1875</v>
      </c>
      <c r="S25" s="39">
        <f t="shared" si="0"/>
        <v>375</v>
      </c>
      <c r="T25" s="39">
        <v>0.15937499999999999</v>
      </c>
      <c r="U25" s="39">
        <v>0.31874999999999998</v>
      </c>
      <c r="V25" s="18"/>
    </row>
    <row r="26" spans="1:22" s="14" customFormat="1" x14ac:dyDescent="0.3">
      <c r="A26" s="18" t="s">
        <v>173</v>
      </c>
      <c r="B26" s="18"/>
      <c r="C26" s="14">
        <v>43.486837000000001</v>
      </c>
      <c r="D26" s="14">
        <v>-71.157409000000001</v>
      </c>
      <c r="E26" s="110" t="s">
        <v>123</v>
      </c>
      <c r="F26" s="14" t="s">
        <v>206</v>
      </c>
      <c r="G26" s="14" t="s">
        <v>210</v>
      </c>
      <c r="H26" s="14">
        <v>0.5</v>
      </c>
      <c r="I26" s="14">
        <v>0.5</v>
      </c>
      <c r="J26" s="14">
        <v>0.25</v>
      </c>
      <c r="K26" s="14">
        <v>30</v>
      </c>
      <c r="L26" s="14">
        <v>1</v>
      </c>
      <c r="M26" s="14">
        <v>1</v>
      </c>
      <c r="R26" s="39">
        <v>0.1875</v>
      </c>
      <c r="S26" s="39">
        <f t="shared" si="0"/>
        <v>375</v>
      </c>
      <c r="T26" s="39">
        <v>0.15937499999999999</v>
      </c>
      <c r="U26" s="39">
        <v>0.31874999999999998</v>
      </c>
      <c r="V26" s="18"/>
    </row>
    <row r="27" spans="1:22" s="14" customFormat="1" ht="30" x14ac:dyDescent="0.3">
      <c r="A27" s="18" t="s">
        <v>177</v>
      </c>
      <c r="B27" s="18"/>
      <c r="C27" s="14">
        <v>43.430892999999998</v>
      </c>
      <c r="D27" s="14">
        <v>-71.253891999999993</v>
      </c>
      <c r="E27" s="110" t="s">
        <v>131</v>
      </c>
      <c r="F27" s="14" t="s">
        <v>202</v>
      </c>
      <c r="G27" s="14" t="s">
        <v>210</v>
      </c>
      <c r="H27" s="14">
        <v>1</v>
      </c>
      <c r="I27" s="14">
        <v>3</v>
      </c>
      <c r="J27" s="14">
        <v>0.25</v>
      </c>
      <c r="K27" s="14">
        <v>100</v>
      </c>
      <c r="L27" s="14">
        <v>3</v>
      </c>
      <c r="M27" s="14">
        <v>1</v>
      </c>
      <c r="R27" s="39">
        <v>0.83333333333333337</v>
      </c>
      <c r="S27" s="33">
        <f t="shared" si="0"/>
        <v>1666.6666666666667</v>
      </c>
      <c r="T27" s="39">
        <v>0.70833333333333337</v>
      </c>
      <c r="U27" s="39">
        <v>1.4166666666666667</v>
      </c>
      <c r="V27" s="18"/>
    </row>
    <row r="28" spans="1:22" s="14" customFormat="1" x14ac:dyDescent="0.3">
      <c r="A28" s="18" t="s">
        <v>178</v>
      </c>
      <c r="B28" s="18"/>
      <c r="C28" s="14">
        <v>43.427869000000001</v>
      </c>
      <c r="D28" s="14">
        <v>-71.252183000000002</v>
      </c>
      <c r="E28" s="110" t="s">
        <v>133</v>
      </c>
      <c r="F28" s="14" t="s">
        <v>201</v>
      </c>
      <c r="G28" s="14" t="s">
        <v>210</v>
      </c>
      <c r="H28" s="14">
        <v>1.75</v>
      </c>
      <c r="I28" s="14">
        <v>1.5</v>
      </c>
      <c r="J28" s="14">
        <v>0.25</v>
      </c>
      <c r="K28" s="14">
        <v>40</v>
      </c>
      <c r="L28" s="14">
        <v>3</v>
      </c>
      <c r="M28" s="14">
        <v>1</v>
      </c>
      <c r="R28" s="39">
        <v>0.40625</v>
      </c>
      <c r="S28" s="39">
        <f t="shared" si="0"/>
        <v>812.5</v>
      </c>
      <c r="T28" s="39">
        <v>0.34531250000000002</v>
      </c>
      <c r="U28" s="39">
        <v>0.69062500000000004</v>
      </c>
      <c r="V28" s="18"/>
    </row>
    <row r="29" spans="1:22" s="14" customFormat="1" x14ac:dyDescent="0.3">
      <c r="A29" s="18" t="s">
        <v>30</v>
      </c>
      <c r="B29" s="18"/>
      <c r="C29" s="14">
        <v>43.432757000000002</v>
      </c>
      <c r="D29" s="14">
        <v>-71.259074999999996</v>
      </c>
      <c r="E29" s="110" t="s">
        <v>136</v>
      </c>
      <c r="F29" s="14" t="s">
        <v>198</v>
      </c>
      <c r="G29" s="14" t="s">
        <v>210</v>
      </c>
      <c r="H29" s="14">
        <v>1</v>
      </c>
      <c r="I29" s="14">
        <v>1</v>
      </c>
      <c r="J29" s="14">
        <v>0.5</v>
      </c>
      <c r="K29" s="14">
        <v>60</v>
      </c>
      <c r="L29" s="14">
        <v>3</v>
      </c>
      <c r="M29" s="14">
        <v>1</v>
      </c>
      <c r="R29" s="39">
        <v>0.5</v>
      </c>
      <c r="S29" s="39">
        <f t="shared" si="0"/>
        <v>1000</v>
      </c>
      <c r="T29" s="39">
        <v>0.42499999999999999</v>
      </c>
      <c r="U29" s="39">
        <v>0.85</v>
      </c>
      <c r="V29" s="18"/>
    </row>
    <row r="30" spans="1:22" s="14" customFormat="1" ht="30" x14ac:dyDescent="0.3">
      <c r="A30" s="18" t="s">
        <v>38</v>
      </c>
      <c r="B30" s="18"/>
      <c r="C30" s="14">
        <v>43.451355</v>
      </c>
      <c r="D30" s="14">
        <v>-71.219549999999998</v>
      </c>
      <c r="E30" s="110" t="s">
        <v>148</v>
      </c>
      <c r="F30" s="14" t="s">
        <v>196</v>
      </c>
      <c r="G30" s="14" t="s">
        <v>210</v>
      </c>
      <c r="H30" s="14">
        <v>2</v>
      </c>
      <c r="I30" s="14">
        <v>1</v>
      </c>
      <c r="J30" s="14">
        <v>0.5</v>
      </c>
      <c r="K30" s="14">
        <v>40</v>
      </c>
      <c r="L30" s="14">
        <v>5</v>
      </c>
      <c r="M30" s="14">
        <v>1</v>
      </c>
      <c r="R30" s="39">
        <v>0.3</v>
      </c>
      <c r="S30" s="33">
        <f t="shared" si="0"/>
        <v>600</v>
      </c>
      <c r="T30" s="39">
        <v>0.255</v>
      </c>
      <c r="U30" s="39">
        <v>0.51</v>
      </c>
      <c r="V30" s="18"/>
    </row>
    <row r="31" spans="1:22" s="14" customFormat="1" x14ac:dyDescent="0.3">
      <c r="A31" s="18" t="s">
        <v>44</v>
      </c>
      <c r="B31" s="18"/>
      <c r="C31" s="14">
        <v>43.419344000000002</v>
      </c>
      <c r="D31" s="14">
        <v>-71.177026999999995</v>
      </c>
      <c r="E31" s="110" t="s">
        <v>154</v>
      </c>
      <c r="F31" s="14" t="s">
        <v>205</v>
      </c>
      <c r="G31" s="14" t="s">
        <v>211</v>
      </c>
      <c r="N31" s="14">
        <v>300</v>
      </c>
      <c r="O31" s="14">
        <v>1</v>
      </c>
      <c r="P31" s="14">
        <v>0.05</v>
      </c>
      <c r="Q31" s="14">
        <v>1</v>
      </c>
      <c r="R31" s="39">
        <v>0.82499999999999996</v>
      </c>
      <c r="S31" s="33">
        <f t="shared" si="0"/>
        <v>1650</v>
      </c>
      <c r="T31" s="39">
        <v>0.70124999999999993</v>
      </c>
      <c r="U31" s="39">
        <v>1.4024999999999999</v>
      </c>
      <c r="V31" s="18"/>
    </row>
    <row r="32" spans="1:22" s="14" customFormat="1" ht="30" x14ac:dyDescent="0.3">
      <c r="A32" s="18" t="s">
        <v>45</v>
      </c>
      <c r="B32" s="18"/>
      <c r="C32" s="14">
        <v>43.419862999999999</v>
      </c>
      <c r="D32" s="14">
        <v>-71.176531999999995</v>
      </c>
      <c r="E32" s="110" t="s">
        <v>156</v>
      </c>
      <c r="F32" s="14" t="s">
        <v>205</v>
      </c>
      <c r="G32" s="14" t="s">
        <v>211</v>
      </c>
      <c r="H32" s="14">
        <v>1</v>
      </c>
      <c r="I32" s="14">
        <v>3</v>
      </c>
      <c r="J32" s="14">
        <v>0.75</v>
      </c>
      <c r="K32" s="14">
        <v>30</v>
      </c>
      <c r="L32" s="14">
        <v>2</v>
      </c>
      <c r="M32" s="14">
        <v>1</v>
      </c>
      <c r="R32" s="39">
        <v>1.125</v>
      </c>
      <c r="S32" s="33">
        <f t="shared" si="0"/>
        <v>2250</v>
      </c>
      <c r="T32" s="39">
        <v>0.95625000000000016</v>
      </c>
      <c r="U32" s="39">
        <v>1.9125000000000003</v>
      </c>
      <c r="V32" s="18"/>
    </row>
    <row r="33" spans="1:23" s="14" customFormat="1" ht="30" x14ac:dyDescent="0.3">
      <c r="A33" s="18" t="s">
        <v>47</v>
      </c>
      <c r="B33" s="18"/>
      <c r="C33" s="14">
        <v>43.411267000000002</v>
      </c>
      <c r="D33" s="14">
        <v>-71.202128999999999</v>
      </c>
      <c r="E33" s="110" t="s">
        <v>158</v>
      </c>
      <c r="F33" s="14" t="s">
        <v>204</v>
      </c>
      <c r="G33" s="14" t="s">
        <v>210</v>
      </c>
      <c r="H33" s="14">
        <v>1</v>
      </c>
      <c r="I33" s="14">
        <v>1</v>
      </c>
      <c r="J33" s="14">
        <v>0.25</v>
      </c>
      <c r="K33" s="14">
        <v>200</v>
      </c>
      <c r="L33" s="14">
        <v>3</v>
      </c>
      <c r="M33" s="14">
        <v>1</v>
      </c>
      <c r="R33" s="39">
        <v>0.83333333333333337</v>
      </c>
      <c r="S33" s="33">
        <f t="shared" si="0"/>
        <v>1666.6666666666667</v>
      </c>
      <c r="T33" s="39">
        <v>0.70833333333333337</v>
      </c>
      <c r="U33" s="39">
        <v>1.4166666666666667</v>
      </c>
      <c r="V33" s="18"/>
    </row>
    <row r="34" spans="1:23" s="14" customFormat="1" ht="30" x14ac:dyDescent="0.3">
      <c r="A34" s="18" t="s">
        <v>48</v>
      </c>
      <c r="B34" s="18"/>
      <c r="C34" s="14">
        <v>43.448613000000002</v>
      </c>
      <c r="D34" s="14">
        <v>-71.201960999999997</v>
      </c>
      <c r="E34" s="110" t="s">
        <v>159</v>
      </c>
      <c r="F34" s="14" t="s">
        <v>201</v>
      </c>
      <c r="G34" s="14" t="s">
        <v>210</v>
      </c>
      <c r="H34" s="14">
        <v>1.25</v>
      </c>
      <c r="I34" s="14">
        <v>1</v>
      </c>
      <c r="J34" s="14">
        <v>0.25</v>
      </c>
      <c r="K34" s="14">
        <v>20</v>
      </c>
      <c r="L34" s="14">
        <v>2</v>
      </c>
      <c r="M34" s="14">
        <v>1</v>
      </c>
      <c r="R34" s="39">
        <v>0.140625</v>
      </c>
      <c r="S34" s="33">
        <f t="shared" si="0"/>
        <v>281.25</v>
      </c>
      <c r="T34" s="39">
        <v>0.11953125000000002</v>
      </c>
      <c r="U34" s="39">
        <v>0.23906250000000004</v>
      </c>
      <c r="V34" s="18"/>
    </row>
    <row r="35" spans="1:23" s="14" customFormat="1" x14ac:dyDescent="0.3">
      <c r="A35" s="18" t="s">
        <v>50</v>
      </c>
      <c r="B35" s="18"/>
      <c r="C35" s="14">
        <v>43.455801000000001</v>
      </c>
      <c r="D35" s="14">
        <v>-71.166623000000001</v>
      </c>
      <c r="E35" s="110" t="s">
        <v>163</v>
      </c>
      <c r="F35" s="14" t="s">
        <v>206</v>
      </c>
      <c r="G35" s="14" t="s">
        <v>210</v>
      </c>
      <c r="H35" s="14">
        <v>1</v>
      </c>
      <c r="I35" s="14">
        <v>1.25</v>
      </c>
      <c r="J35" s="14">
        <v>0.25</v>
      </c>
      <c r="K35" s="14">
        <v>40</v>
      </c>
      <c r="L35" s="14">
        <v>1</v>
      </c>
      <c r="M35" s="14">
        <v>1</v>
      </c>
      <c r="R35" s="39">
        <v>0.5625</v>
      </c>
      <c r="S35" s="39">
        <f t="shared" si="0"/>
        <v>1125</v>
      </c>
      <c r="T35" s="39">
        <v>0.47812500000000008</v>
      </c>
      <c r="U35" s="39">
        <v>0.95625000000000016</v>
      </c>
      <c r="V35" s="18"/>
    </row>
    <row r="36" spans="1:23" s="14" customFormat="1" ht="30" x14ac:dyDescent="0.3">
      <c r="A36" s="18">
        <v>37</v>
      </c>
      <c r="B36" s="18"/>
      <c r="C36" s="14">
        <v>43.414096000000001</v>
      </c>
      <c r="D36" s="14">
        <v>-71.211888000000002</v>
      </c>
      <c r="E36" s="110" t="s">
        <v>109</v>
      </c>
      <c r="F36" s="14" t="s">
        <v>200</v>
      </c>
      <c r="G36" s="14" t="s">
        <v>210</v>
      </c>
      <c r="N36" s="14">
        <v>30</v>
      </c>
      <c r="O36" s="14">
        <v>2</v>
      </c>
      <c r="P36" s="14">
        <v>0.35</v>
      </c>
      <c r="Q36" s="14">
        <v>1</v>
      </c>
      <c r="R36" s="39">
        <v>1.05</v>
      </c>
      <c r="S36" s="33">
        <f t="shared" si="0"/>
        <v>2100</v>
      </c>
      <c r="T36" s="39">
        <v>0.89249999999999996</v>
      </c>
      <c r="U36" s="36">
        <v>1.7849999999999999</v>
      </c>
      <c r="V36" s="18"/>
    </row>
    <row r="37" spans="1:23" s="14" customFormat="1" ht="30" x14ac:dyDescent="0.3">
      <c r="A37" s="18" t="s">
        <v>33</v>
      </c>
      <c r="B37" s="18"/>
      <c r="C37" s="14">
        <v>43.452061999999998</v>
      </c>
      <c r="D37" s="14">
        <v>-71.231623999999996</v>
      </c>
      <c r="E37" s="110" t="s">
        <v>140</v>
      </c>
      <c r="F37" s="14" t="s">
        <v>197</v>
      </c>
      <c r="G37" s="14" t="s">
        <v>210</v>
      </c>
      <c r="H37" s="14">
        <v>1</v>
      </c>
      <c r="I37" s="14">
        <v>1</v>
      </c>
      <c r="J37" s="14">
        <v>0.25</v>
      </c>
      <c r="K37" s="14">
        <v>100</v>
      </c>
      <c r="L37" s="14">
        <v>2</v>
      </c>
      <c r="M37" s="14">
        <v>1</v>
      </c>
      <c r="R37" s="39">
        <v>0.625</v>
      </c>
      <c r="S37" s="33">
        <f t="shared" si="0"/>
        <v>1250</v>
      </c>
      <c r="T37" s="39">
        <v>0.53125</v>
      </c>
      <c r="U37" s="36">
        <v>1.0625</v>
      </c>
      <c r="V37" s="18"/>
    </row>
    <row r="38" spans="1:23" s="16" customFormat="1" x14ac:dyDescent="0.3">
      <c r="A38" s="13"/>
      <c r="B38" s="13"/>
      <c r="C38" s="14"/>
      <c r="D38" s="14"/>
      <c r="E38" s="109"/>
      <c r="P38" s="21"/>
      <c r="Q38" s="21"/>
      <c r="R38" s="50"/>
      <c r="S38" s="50"/>
      <c r="T38" s="50"/>
      <c r="U38" s="50"/>
      <c r="V38" s="18"/>
    </row>
    <row r="39" spans="1:23" s="16" customFormat="1" x14ac:dyDescent="0.3">
      <c r="A39" s="18"/>
      <c r="B39" s="18"/>
      <c r="C39" s="14"/>
      <c r="D39" s="14"/>
      <c r="E39" s="110"/>
      <c r="F39" s="14"/>
      <c r="G39" s="14"/>
      <c r="H39" s="14"/>
      <c r="I39" s="14"/>
      <c r="J39" s="14"/>
      <c r="K39" s="14"/>
      <c r="L39" s="14"/>
      <c r="M39" s="14"/>
      <c r="N39" s="14"/>
      <c r="O39" s="14"/>
      <c r="P39" s="21"/>
      <c r="Q39" s="21"/>
      <c r="R39" s="34"/>
      <c r="S39" s="34"/>
      <c r="T39" s="34"/>
      <c r="U39" s="34"/>
      <c r="V39" s="18"/>
      <c r="W39" s="14"/>
    </row>
    <row r="40" spans="1:23" x14ac:dyDescent="0.3">
      <c r="A40" s="8"/>
      <c r="B40" s="8"/>
      <c r="C40" s="3"/>
      <c r="D40" s="3"/>
      <c r="E40" s="40"/>
      <c r="F40" s="3"/>
      <c r="G40" s="3"/>
      <c r="H40" s="3"/>
      <c r="I40" s="3"/>
      <c r="J40" s="3"/>
      <c r="K40" s="3"/>
      <c r="L40" s="3"/>
      <c r="M40" s="3"/>
      <c r="N40" s="3"/>
      <c r="O40" s="3"/>
      <c r="P40" s="19"/>
      <c r="Q40" s="22"/>
      <c r="R40" s="34"/>
      <c r="S40" s="34"/>
      <c r="T40" s="34"/>
      <c r="U40" s="34"/>
      <c r="V40" s="8"/>
      <c r="W40" s="3"/>
    </row>
    <row r="41" spans="1:23" x14ac:dyDescent="0.3">
      <c r="A41" s="26"/>
      <c r="B41" s="26"/>
      <c r="C41" s="26"/>
      <c r="D41" s="26"/>
      <c r="E41" s="27"/>
      <c r="F41" s="27"/>
      <c r="G41" s="27"/>
      <c r="H41" s="26"/>
      <c r="I41" s="26"/>
      <c r="J41" s="26"/>
      <c r="K41" s="26"/>
      <c r="L41" s="26"/>
      <c r="M41" s="26"/>
      <c r="N41" s="26"/>
      <c r="O41" s="26"/>
      <c r="P41" s="26"/>
      <c r="Q41" s="26"/>
      <c r="R41" s="35"/>
      <c r="S41" s="35"/>
      <c r="T41" s="35"/>
      <c r="U41" s="35"/>
      <c r="V41" s="26"/>
      <c r="W41" s="3"/>
    </row>
    <row r="42" spans="1:23" x14ac:dyDescent="0.3">
      <c r="A42" s="3"/>
      <c r="B42" s="3"/>
      <c r="C42" s="3"/>
      <c r="D42" s="3"/>
      <c r="E42" s="106"/>
      <c r="F42" s="3"/>
      <c r="G42" s="3"/>
      <c r="H42" s="3"/>
      <c r="I42" s="3"/>
      <c r="J42" s="3"/>
      <c r="K42" s="3"/>
      <c r="L42" s="3"/>
      <c r="M42" s="3"/>
      <c r="N42" s="3"/>
      <c r="O42" s="3"/>
      <c r="P42" s="3"/>
      <c r="Q42" s="3"/>
      <c r="R42" s="36"/>
      <c r="S42" s="36"/>
      <c r="T42" s="36"/>
      <c r="U42" s="36"/>
      <c r="W42" s="3"/>
    </row>
    <row r="43" spans="1:23" x14ac:dyDescent="0.3">
      <c r="A43" s="3"/>
      <c r="B43" s="3"/>
      <c r="C43" s="3"/>
      <c r="D43" s="3"/>
      <c r="E43" s="106"/>
      <c r="F43" s="3"/>
      <c r="G43" s="3"/>
      <c r="H43" s="3"/>
      <c r="I43" s="3"/>
      <c r="J43" s="3"/>
      <c r="K43" s="3"/>
      <c r="L43" s="3"/>
      <c r="M43" s="3"/>
      <c r="N43" s="3"/>
      <c r="O43" s="3"/>
      <c r="P43" s="3"/>
      <c r="Q43" s="3"/>
      <c r="R43" s="36"/>
      <c r="S43" s="36"/>
      <c r="T43" s="36"/>
      <c r="U43" s="36"/>
      <c r="W43" s="3"/>
    </row>
    <row r="44" spans="1:23" x14ac:dyDescent="0.3">
      <c r="A44" s="3"/>
      <c r="B44" s="3"/>
      <c r="C44" s="3"/>
      <c r="D44" s="3"/>
      <c r="E44" s="106"/>
      <c r="F44" s="3"/>
      <c r="G44" s="3"/>
      <c r="H44" s="3"/>
      <c r="I44" s="3"/>
      <c r="J44" s="3"/>
      <c r="K44" s="3"/>
      <c r="L44" s="3"/>
      <c r="M44" s="3"/>
      <c r="N44" s="3"/>
      <c r="O44" s="3"/>
      <c r="P44" s="3"/>
      <c r="Q44" s="3"/>
      <c r="R44" s="36"/>
      <c r="S44" s="36"/>
      <c r="T44" s="36"/>
      <c r="U44" s="36"/>
      <c r="W44" s="3"/>
    </row>
  </sheetData>
  <autoFilter ref="A2:U37" xr:uid="{05D5E1FC-B028-464A-9014-56862585BB7F}"/>
  <mergeCells count="5">
    <mergeCell ref="A1:E1"/>
    <mergeCell ref="F1:G1"/>
    <mergeCell ref="H1:M1"/>
    <mergeCell ref="N1:Q1"/>
    <mergeCell ref="R1:U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D5E8D-CDC6-4313-A8EC-430603E213B8}">
  <sheetPr>
    <pageSetUpPr fitToPage="1"/>
  </sheetPr>
  <dimension ref="A1:J82"/>
  <sheetViews>
    <sheetView zoomScale="90" zoomScaleNormal="90" workbookViewId="0">
      <pane ySplit="1" topLeftCell="A2" activePane="bottomLeft" state="frozen"/>
      <selection pane="bottomLeft" activeCell="B78" sqref="B78"/>
    </sheetView>
  </sheetViews>
  <sheetFormatPr defaultColWidth="8.77734375" defaultRowHeight="15" x14ac:dyDescent="0.3"/>
  <cols>
    <col min="1" max="1" width="12.44140625" style="8" customWidth="1"/>
    <col min="2" max="2" width="13.21875" style="1" customWidth="1"/>
    <col min="3" max="3" width="55.77734375" style="20" customWidth="1"/>
    <col min="4" max="4" width="63.21875" style="20" customWidth="1"/>
    <col min="5" max="5" width="15" style="54" customWidth="1"/>
    <col min="6" max="6" width="13.77734375" style="28" customWidth="1"/>
    <col min="7" max="7" width="15.5546875" style="28" customWidth="1"/>
    <col min="8" max="8" width="19.21875" style="47" customWidth="1"/>
    <col min="9" max="9" width="20" style="47" customWidth="1"/>
    <col min="10" max="16384" width="8.77734375" style="1"/>
  </cols>
  <sheetData>
    <row r="1" spans="1:10" x14ac:dyDescent="0.3">
      <c r="A1" s="80" t="s">
        <v>2</v>
      </c>
      <c r="B1" s="42" t="s">
        <v>182</v>
      </c>
      <c r="C1" s="43" t="s">
        <v>29</v>
      </c>
      <c r="D1" s="43" t="s">
        <v>28</v>
      </c>
      <c r="E1" s="52" t="s">
        <v>220</v>
      </c>
      <c r="F1" s="51" t="s">
        <v>221</v>
      </c>
      <c r="G1" s="51" t="s">
        <v>222</v>
      </c>
      <c r="H1" s="93" t="s">
        <v>229</v>
      </c>
      <c r="I1" s="93" t="s">
        <v>230</v>
      </c>
      <c r="J1" s="3"/>
    </row>
    <row r="2" spans="1:10" ht="30" x14ac:dyDescent="0.3">
      <c r="A2" s="9" t="s">
        <v>23</v>
      </c>
      <c r="B2" s="2" t="s">
        <v>63</v>
      </c>
      <c r="C2" s="20" t="s">
        <v>118</v>
      </c>
      <c r="D2" s="20" t="s">
        <v>278</v>
      </c>
      <c r="E2" s="54">
        <v>378.33450825420005</v>
      </c>
      <c r="F2" s="28">
        <v>0.57350361239100012</v>
      </c>
      <c r="G2" s="28">
        <v>0.5930463627</v>
      </c>
      <c r="H2" s="48">
        <v>3000</v>
      </c>
      <c r="I2" s="48">
        <v>5000</v>
      </c>
      <c r="J2" s="3"/>
    </row>
    <row r="3" spans="1:10" ht="45" x14ac:dyDescent="0.3">
      <c r="A3" s="9">
        <v>2</v>
      </c>
      <c r="B3" s="3" t="s">
        <v>63</v>
      </c>
      <c r="C3" s="94" t="s">
        <v>263</v>
      </c>
      <c r="D3" s="20" t="s">
        <v>264</v>
      </c>
      <c r="E3" s="54">
        <v>191.8192873662</v>
      </c>
      <c r="F3" s="28">
        <v>0.44394657079500005</v>
      </c>
      <c r="G3" s="28">
        <v>1.3926468644550003</v>
      </c>
      <c r="H3" s="48">
        <v>3000</v>
      </c>
      <c r="I3" s="48">
        <v>5000</v>
      </c>
      <c r="J3" s="3"/>
    </row>
    <row r="4" spans="1:10" ht="45" x14ac:dyDescent="0.3">
      <c r="A4" s="9">
        <v>3</v>
      </c>
      <c r="B4" s="2" t="s">
        <v>63</v>
      </c>
      <c r="C4" s="94" t="s">
        <v>59</v>
      </c>
      <c r="D4" s="20" t="s">
        <v>62</v>
      </c>
      <c r="E4" s="54">
        <v>1261.5432445170004</v>
      </c>
      <c r="F4" s="28">
        <v>3.0153202457625006</v>
      </c>
      <c r="G4" s="28">
        <v>1.7589901824000016</v>
      </c>
      <c r="H4" s="48">
        <v>100000</v>
      </c>
      <c r="I4" s="48">
        <v>150000</v>
      </c>
      <c r="J4" s="3"/>
    </row>
    <row r="5" spans="1:10" ht="45" x14ac:dyDescent="0.35">
      <c r="A5" s="9">
        <v>4</v>
      </c>
      <c r="B5" s="2" t="s">
        <v>63</v>
      </c>
      <c r="C5" s="94" t="s">
        <v>60</v>
      </c>
      <c r="D5" s="20" t="s">
        <v>61</v>
      </c>
      <c r="E5" s="78" t="s">
        <v>223</v>
      </c>
      <c r="F5" s="79"/>
      <c r="G5" s="79"/>
      <c r="H5" s="49"/>
      <c r="I5" s="49"/>
      <c r="J5" s="3"/>
    </row>
    <row r="6" spans="1:10" ht="75" x14ac:dyDescent="0.3">
      <c r="A6" s="9">
        <v>5</v>
      </c>
      <c r="B6" s="2" t="s">
        <v>63</v>
      </c>
      <c r="C6" s="94" t="s">
        <v>285</v>
      </c>
      <c r="D6" s="20" t="s">
        <v>65</v>
      </c>
      <c r="E6" s="54">
        <v>1252.9783979910001</v>
      </c>
      <c r="F6" s="28">
        <v>2.7584596830374997</v>
      </c>
      <c r="G6" s="28">
        <v>2.4189660269999997</v>
      </c>
      <c r="H6" s="49">
        <v>100000</v>
      </c>
      <c r="I6" s="49">
        <v>150000</v>
      </c>
      <c r="J6" s="3"/>
    </row>
    <row r="7" spans="1:10" ht="60" x14ac:dyDescent="0.35">
      <c r="A7" s="9">
        <v>6</v>
      </c>
      <c r="B7" s="2" t="s">
        <v>63</v>
      </c>
      <c r="C7" s="94" t="s">
        <v>66</v>
      </c>
      <c r="D7" s="20" t="s">
        <v>228</v>
      </c>
      <c r="E7" s="78" t="s">
        <v>286</v>
      </c>
      <c r="F7" s="79"/>
      <c r="G7" s="79"/>
      <c r="H7" s="49"/>
      <c r="I7" s="49"/>
      <c r="J7" s="3"/>
    </row>
    <row r="8" spans="1:10" ht="45" x14ac:dyDescent="0.3">
      <c r="A8" s="9">
        <v>31</v>
      </c>
      <c r="B8" s="2" t="s">
        <v>63</v>
      </c>
      <c r="C8" s="94" t="s">
        <v>101</v>
      </c>
      <c r="D8" s="20" t="s">
        <v>95</v>
      </c>
      <c r="E8" s="54">
        <v>490.71396105802449</v>
      </c>
      <c r="F8" s="28">
        <v>1.2375420821170251</v>
      </c>
      <c r="G8" s="28">
        <v>0.72617054089864475</v>
      </c>
      <c r="H8" s="49">
        <v>15000</v>
      </c>
      <c r="I8" s="49">
        <v>30000</v>
      </c>
    </row>
    <row r="9" spans="1:10" ht="45" x14ac:dyDescent="0.3">
      <c r="A9" s="9">
        <v>35</v>
      </c>
      <c r="B9" s="2" t="s">
        <v>63</v>
      </c>
      <c r="C9" s="94" t="s">
        <v>102</v>
      </c>
      <c r="D9" s="20" t="s">
        <v>95</v>
      </c>
      <c r="E9" s="54">
        <v>760.79646117540005</v>
      </c>
      <c r="F9" s="28">
        <v>1.6457654031390003</v>
      </c>
      <c r="G9" s="28">
        <v>1.4044555413000008</v>
      </c>
      <c r="H9" s="49">
        <v>15000</v>
      </c>
      <c r="I9" s="49">
        <v>30000</v>
      </c>
      <c r="J9" s="3"/>
    </row>
    <row r="10" spans="1:10" ht="30" x14ac:dyDescent="0.3">
      <c r="A10" s="9" t="s">
        <v>35</v>
      </c>
      <c r="B10" s="3" t="s">
        <v>63</v>
      </c>
      <c r="C10" s="40" t="s">
        <v>143</v>
      </c>
      <c r="D10" s="40" t="s">
        <v>144</v>
      </c>
      <c r="E10" s="57">
        <v>275.08472880300008</v>
      </c>
      <c r="F10" s="30">
        <v>0.71609860822500027</v>
      </c>
      <c r="G10" s="30">
        <v>0.48910265730000013</v>
      </c>
      <c r="H10" s="48">
        <v>40000</v>
      </c>
      <c r="I10" s="48">
        <v>65000</v>
      </c>
      <c r="J10" s="3"/>
    </row>
    <row r="11" spans="1:10" ht="60" x14ac:dyDescent="0.3">
      <c r="A11" s="9" t="s">
        <v>179</v>
      </c>
      <c r="B11" s="3" t="s">
        <v>63</v>
      </c>
      <c r="C11" s="40" t="s">
        <v>132</v>
      </c>
      <c r="D11" s="40" t="s">
        <v>130</v>
      </c>
      <c r="E11" s="55">
        <v>796.64543809055999</v>
      </c>
      <c r="F11" s="41">
        <v>1.5910015299975004</v>
      </c>
      <c r="G11" s="41">
        <v>9.2864727885599976</v>
      </c>
      <c r="H11" s="49">
        <v>15000</v>
      </c>
      <c r="I11" s="49">
        <v>30000</v>
      </c>
      <c r="J11" s="3"/>
    </row>
    <row r="12" spans="1:10" ht="30" x14ac:dyDescent="0.3">
      <c r="A12" s="9" t="s">
        <v>178</v>
      </c>
      <c r="B12" s="3" t="s">
        <v>63</v>
      </c>
      <c r="C12" s="40" t="s">
        <v>133</v>
      </c>
      <c r="D12" s="40" t="s">
        <v>130</v>
      </c>
      <c r="E12" s="55">
        <v>812.5</v>
      </c>
      <c r="F12" s="41">
        <v>0.34531250000000002</v>
      </c>
      <c r="G12" s="41">
        <v>0.69062500000000004</v>
      </c>
      <c r="H12" s="48">
        <v>5000</v>
      </c>
      <c r="I12" s="48">
        <v>15000</v>
      </c>
      <c r="J12" s="3"/>
    </row>
    <row r="13" spans="1:10" ht="60" x14ac:dyDescent="0.3">
      <c r="A13" s="9" t="s">
        <v>41</v>
      </c>
      <c r="B13" s="3" t="s">
        <v>63</v>
      </c>
      <c r="C13" s="20" t="s">
        <v>277</v>
      </c>
      <c r="D13" s="20" t="s">
        <v>130</v>
      </c>
      <c r="E13" s="53">
        <v>6250</v>
      </c>
      <c r="F13" s="29">
        <v>2.65625</v>
      </c>
      <c r="G13" s="29">
        <v>5.3125</v>
      </c>
      <c r="H13" s="48">
        <v>30000</v>
      </c>
      <c r="I13" s="48">
        <v>50000</v>
      </c>
      <c r="J13" s="3"/>
    </row>
    <row r="14" spans="1:10" ht="30" x14ac:dyDescent="0.3">
      <c r="A14" s="9" t="s">
        <v>42</v>
      </c>
      <c r="B14" s="3" t="s">
        <v>63</v>
      </c>
      <c r="C14" s="20" t="s">
        <v>153</v>
      </c>
      <c r="D14" s="20" t="s">
        <v>130</v>
      </c>
      <c r="E14" s="54">
        <v>2500</v>
      </c>
      <c r="F14" s="28">
        <v>1.0625</v>
      </c>
      <c r="G14" s="28">
        <v>2.125</v>
      </c>
      <c r="H14" s="49">
        <v>15000</v>
      </c>
      <c r="I14" s="49">
        <v>20000</v>
      </c>
      <c r="J14" s="3"/>
    </row>
    <row r="15" spans="1:10" ht="45" x14ac:dyDescent="0.3">
      <c r="A15" s="9">
        <v>39</v>
      </c>
      <c r="B15" s="3" t="s">
        <v>63</v>
      </c>
      <c r="C15" s="40" t="s">
        <v>113</v>
      </c>
      <c r="D15" s="40" t="s">
        <v>92</v>
      </c>
      <c r="E15" s="57">
        <v>554.75500077000004</v>
      </c>
      <c r="F15" s="30">
        <v>1.3495947221249998</v>
      </c>
      <c r="G15" s="30">
        <v>0.74855674799999949</v>
      </c>
      <c r="H15" s="49">
        <v>15000</v>
      </c>
      <c r="I15" s="49">
        <v>30000</v>
      </c>
      <c r="J15" s="3"/>
    </row>
    <row r="16" spans="1:10" ht="30" x14ac:dyDescent="0.3">
      <c r="A16" s="9" t="s">
        <v>30</v>
      </c>
      <c r="B16" s="3" t="s">
        <v>63</v>
      </c>
      <c r="C16" s="40" t="s">
        <v>136</v>
      </c>
      <c r="D16" s="40" t="s">
        <v>130</v>
      </c>
      <c r="E16" s="55">
        <v>1000</v>
      </c>
      <c r="F16" s="41">
        <v>0.42499999999999999</v>
      </c>
      <c r="G16" s="41">
        <v>0.85</v>
      </c>
      <c r="H16" s="48">
        <v>5000</v>
      </c>
      <c r="I16" s="48">
        <v>10000</v>
      </c>
      <c r="J16" s="3"/>
    </row>
    <row r="17" spans="1:10" s="3" customFormat="1" ht="30" x14ac:dyDescent="0.3">
      <c r="A17" s="9" t="s">
        <v>181</v>
      </c>
      <c r="B17" s="3" t="s">
        <v>63</v>
      </c>
      <c r="C17" s="20" t="s">
        <v>136</v>
      </c>
      <c r="D17" s="20" t="s">
        <v>130</v>
      </c>
      <c r="E17" s="53">
        <v>2250</v>
      </c>
      <c r="F17" s="29">
        <v>0.95625000000000016</v>
      </c>
      <c r="G17" s="29">
        <v>1.9125000000000003</v>
      </c>
      <c r="H17" s="49">
        <v>15000</v>
      </c>
      <c r="I17" s="49">
        <v>20000</v>
      </c>
    </row>
    <row r="18" spans="1:10" s="3" customFormat="1" ht="30" x14ac:dyDescent="0.3">
      <c r="A18" s="9" t="s">
        <v>46</v>
      </c>
      <c r="B18" s="3" t="s">
        <v>63</v>
      </c>
      <c r="C18" s="40" t="s">
        <v>157</v>
      </c>
      <c r="D18" s="40" t="s">
        <v>279</v>
      </c>
      <c r="E18" s="55">
        <v>504.23881576500003</v>
      </c>
      <c r="F18" s="41">
        <v>1.1451185708625005</v>
      </c>
      <c r="G18" s="41">
        <v>0.70321115880000029</v>
      </c>
      <c r="H18" s="49">
        <v>15000</v>
      </c>
      <c r="I18" s="49">
        <v>30000</v>
      </c>
    </row>
    <row r="19" spans="1:10" ht="90" x14ac:dyDescent="0.3">
      <c r="A19" s="9">
        <v>40</v>
      </c>
      <c r="B19" s="2" t="s">
        <v>63</v>
      </c>
      <c r="C19" s="20" t="s">
        <v>115</v>
      </c>
      <c r="D19" s="20" t="s">
        <v>116</v>
      </c>
      <c r="E19" s="54">
        <v>505.71558621000003</v>
      </c>
      <c r="F19" s="28">
        <v>0.99402815655000021</v>
      </c>
      <c r="G19" s="28">
        <v>2.3181286463999995</v>
      </c>
      <c r="H19" s="48">
        <v>30000</v>
      </c>
      <c r="I19" s="48">
        <v>50000</v>
      </c>
      <c r="J19" s="3"/>
    </row>
    <row r="20" spans="1:10" s="3" customFormat="1" x14ac:dyDescent="0.3">
      <c r="A20" s="9" t="s">
        <v>49</v>
      </c>
      <c r="B20" s="2" t="s">
        <v>63</v>
      </c>
      <c r="C20" s="20" t="s">
        <v>161</v>
      </c>
      <c r="D20" s="20" t="s">
        <v>162</v>
      </c>
      <c r="E20" s="54">
        <v>440.87232217500002</v>
      </c>
      <c r="F20" s="28">
        <v>1.0276617195000002</v>
      </c>
      <c r="G20" s="28">
        <v>0.60408732149999977</v>
      </c>
      <c r="H20" s="49">
        <v>15000</v>
      </c>
      <c r="I20" s="49">
        <v>30000</v>
      </c>
    </row>
    <row r="21" spans="1:10" s="3" customFormat="1" ht="30" x14ac:dyDescent="0.3">
      <c r="A21" s="8" t="s">
        <v>174</v>
      </c>
      <c r="B21" s="2" t="s">
        <v>63</v>
      </c>
      <c r="C21" s="40" t="s">
        <v>125</v>
      </c>
      <c r="D21" s="40" t="s">
        <v>126</v>
      </c>
      <c r="E21" s="57">
        <v>438.31289624400006</v>
      </c>
      <c r="F21" s="30">
        <v>1.021434297975</v>
      </c>
      <c r="G21" s="30">
        <v>0.56844055620000056</v>
      </c>
      <c r="H21" s="49">
        <v>15000</v>
      </c>
      <c r="I21" s="49">
        <v>30000</v>
      </c>
    </row>
    <row r="22" spans="1:10" s="3" customFormat="1" ht="30" x14ac:dyDescent="0.3">
      <c r="A22" s="8" t="s">
        <v>45</v>
      </c>
      <c r="B22" s="3" t="s">
        <v>63</v>
      </c>
      <c r="C22" s="40" t="s">
        <v>156</v>
      </c>
      <c r="D22" s="40" t="s">
        <v>130</v>
      </c>
      <c r="E22" s="55">
        <v>2250</v>
      </c>
      <c r="F22" s="41">
        <v>0.95625000000000016</v>
      </c>
      <c r="G22" s="41">
        <v>1.9125000000000003</v>
      </c>
      <c r="H22" s="49">
        <v>15000</v>
      </c>
      <c r="I22" s="49">
        <v>30000</v>
      </c>
    </row>
    <row r="23" spans="1:10" s="3" customFormat="1" ht="30" x14ac:dyDescent="0.3">
      <c r="A23" s="8">
        <v>11</v>
      </c>
      <c r="B23" s="4" t="s">
        <v>64</v>
      </c>
      <c r="C23" s="95" t="s">
        <v>79</v>
      </c>
      <c r="D23" s="40" t="s">
        <v>271</v>
      </c>
      <c r="E23" s="55">
        <v>1980</v>
      </c>
      <c r="F23" s="41">
        <v>0.84150000000000003</v>
      </c>
      <c r="G23" s="41">
        <v>1.6830000000000001</v>
      </c>
      <c r="H23" s="48">
        <v>5000</v>
      </c>
      <c r="I23" s="48">
        <v>15000</v>
      </c>
    </row>
    <row r="24" spans="1:10" s="3" customFormat="1" ht="30" x14ac:dyDescent="0.3">
      <c r="A24" s="8" t="s">
        <v>53</v>
      </c>
      <c r="B24" s="2" t="s">
        <v>63</v>
      </c>
      <c r="C24" s="40" t="s">
        <v>167</v>
      </c>
      <c r="D24" s="40" t="s">
        <v>169</v>
      </c>
      <c r="E24" s="57">
        <v>476.92646712526511</v>
      </c>
      <c r="F24" s="30">
        <v>0.93648470337549772</v>
      </c>
      <c r="G24" s="30">
        <v>4.894424349419622</v>
      </c>
      <c r="H24" s="49">
        <v>15000</v>
      </c>
      <c r="I24" s="49">
        <v>30000</v>
      </c>
    </row>
    <row r="25" spans="1:10" s="3" customFormat="1" ht="75" x14ac:dyDescent="0.3">
      <c r="A25" s="8">
        <v>41</v>
      </c>
      <c r="B25" s="3" t="s">
        <v>63</v>
      </c>
      <c r="C25" s="40" t="s">
        <v>117</v>
      </c>
      <c r="D25" s="40" t="s">
        <v>116</v>
      </c>
      <c r="E25" s="57">
        <v>802.03398647400002</v>
      </c>
      <c r="F25" s="30">
        <v>1.6575492631500004</v>
      </c>
      <c r="G25" s="30">
        <v>6.2824743792</v>
      </c>
      <c r="H25" s="48">
        <v>30000</v>
      </c>
      <c r="I25" s="48">
        <v>50000</v>
      </c>
    </row>
    <row r="26" spans="1:10" s="3" customFormat="1" ht="45" x14ac:dyDescent="0.3">
      <c r="A26" s="8">
        <v>34</v>
      </c>
      <c r="B26" s="2" t="s">
        <v>63</v>
      </c>
      <c r="C26" s="40" t="s">
        <v>332</v>
      </c>
      <c r="D26" s="40" t="s">
        <v>92</v>
      </c>
      <c r="E26" s="57">
        <v>647.55290614821467</v>
      </c>
      <c r="F26" s="30">
        <v>0.8995525611165629</v>
      </c>
      <c r="G26" s="30">
        <v>7.4962713426380247</v>
      </c>
      <c r="H26" s="49">
        <v>15000</v>
      </c>
      <c r="I26" s="49">
        <v>30000</v>
      </c>
    </row>
    <row r="27" spans="1:10" s="3" customFormat="1" ht="30" x14ac:dyDescent="0.3">
      <c r="A27" s="8" t="s">
        <v>34</v>
      </c>
      <c r="B27" s="2" t="s">
        <v>63</v>
      </c>
      <c r="C27" s="40" t="s">
        <v>141</v>
      </c>
      <c r="D27" s="40" t="s">
        <v>142</v>
      </c>
      <c r="E27" s="57">
        <v>282.53954535570006</v>
      </c>
      <c r="F27" s="30">
        <v>0.66988358572500017</v>
      </c>
      <c r="G27" s="30">
        <v>3.9974010803999995</v>
      </c>
      <c r="H27" s="49">
        <v>15000</v>
      </c>
      <c r="I27" s="49">
        <v>20000</v>
      </c>
    </row>
    <row r="28" spans="1:10" s="3" customFormat="1" ht="30" x14ac:dyDescent="0.3">
      <c r="A28" s="8">
        <v>33</v>
      </c>
      <c r="B28" s="4" t="s">
        <v>64</v>
      </c>
      <c r="C28" s="40" t="s">
        <v>105</v>
      </c>
      <c r="D28" s="40" t="s">
        <v>106</v>
      </c>
      <c r="E28" s="57">
        <v>534.3366764284699</v>
      </c>
      <c r="F28" s="30">
        <v>0.72379204522242668</v>
      </c>
      <c r="G28" s="30">
        <v>2.5920582102196317</v>
      </c>
      <c r="H28" s="48">
        <v>5000</v>
      </c>
      <c r="I28" s="48">
        <v>15000</v>
      </c>
    </row>
    <row r="29" spans="1:10" s="3" customFormat="1" x14ac:dyDescent="0.3">
      <c r="A29" s="8">
        <v>17</v>
      </c>
      <c r="B29" s="4" t="s">
        <v>64</v>
      </c>
      <c r="C29" s="95" t="s">
        <v>84</v>
      </c>
      <c r="D29" s="40" t="s">
        <v>72</v>
      </c>
      <c r="E29" s="55">
        <v>1650</v>
      </c>
      <c r="F29" s="41">
        <v>0.70124999999999993</v>
      </c>
      <c r="G29" s="41">
        <v>1.4024999999999999</v>
      </c>
      <c r="H29" s="48">
        <v>5000</v>
      </c>
      <c r="I29" s="48">
        <v>15000</v>
      </c>
    </row>
    <row r="30" spans="1:10" s="3" customFormat="1" ht="30" x14ac:dyDescent="0.3">
      <c r="A30" s="8">
        <v>13</v>
      </c>
      <c r="B30" s="4" t="s">
        <v>64</v>
      </c>
      <c r="C30" s="95" t="s">
        <v>15</v>
      </c>
      <c r="D30" s="40" t="s">
        <v>16</v>
      </c>
      <c r="E30" s="55">
        <v>1562.5</v>
      </c>
      <c r="F30" s="41">
        <v>0.6640625</v>
      </c>
      <c r="G30" s="41">
        <v>1.328125</v>
      </c>
      <c r="H30" s="48">
        <v>5000</v>
      </c>
      <c r="I30" s="48">
        <v>15000</v>
      </c>
    </row>
    <row r="31" spans="1:10" s="3" customFormat="1" ht="30" x14ac:dyDescent="0.3">
      <c r="A31" s="8">
        <v>10</v>
      </c>
      <c r="B31" s="4" t="s">
        <v>64</v>
      </c>
      <c r="C31" s="95" t="s">
        <v>77</v>
      </c>
      <c r="D31" s="40" t="s">
        <v>78</v>
      </c>
      <c r="E31" s="55">
        <v>1512.5</v>
      </c>
      <c r="F31" s="41">
        <v>0.64281250000000001</v>
      </c>
      <c r="G31" s="41">
        <v>1.285625</v>
      </c>
      <c r="H31" s="48">
        <v>5000</v>
      </c>
      <c r="I31" s="48">
        <v>15000</v>
      </c>
    </row>
    <row r="32" spans="1:10" s="3" customFormat="1" ht="45" x14ac:dyDescent="0.3">
      <c r="A32" s="8" t="s">
        <v>44</v>
      </c>
      <c r="B32" s="3" t="s">
        <v>63</v>
      </c>
      <c r="C32" s="40" t="s">
        <v>154</v>
      </c>
      <c r="D32" s="40" t="s">
        <v>155</v>
      </c>
      <c r="E32" s="55">
        <v>1650</v>
      </c>
      <c r="F32" s="41">
        <v>0.70124999999999993</v>
      </c>
      <c r="G32" s="41">
        <v>1.4024999999999999</v>
      </c>
      <c r="H32" s="49">
        <v>15000</v>
      </c>
      <c r="I32" s="49">
        <v>30000</v>
      </c>
    </row>
    <row r="33" spans="1:9" s="3" customFormat="1" ht="45" x14ac:dyDescent="0.3">
      <c r="A33" s="8">
        <v>1</v>
      </c>
      <c r="B33" s="4" t="s">
        <v>64</v>
      </c>
      <c r="C33" s="95" t="s">
        <v>57</v>
      </c>
      <c r="D33" s="40" t="s">
        <v>58</v>
      </c>
      <c r="E33" s="55">
        <v>562.5</v>
      </c>
      <c r="F33" s="41">
        <v>0.23906250000000004</v>
      </c>
      <c r="G33" s="41">
        <v>0.47812500000000008</v>
      </c>
      <c r="H33" s="48">
        <v>3000</v>
      </c>
      <c r="I33" s="48">
        <v>5000</v>
      </c>
    </row>
    <row r="34" spans="1:9" s="3" customFormat="1" ht="30" x14ac:dyDescent="0.3">
      <c r="A34" s="8">
        <v>18</v>
      </c>
      <c r="B34" s="4" t="s">
        <v>64</v>
      </c>
      <c r="C34" s="95" t="s">
        <v>7</v>
      </c>
      <c r="D34" s="40" t="s">
        <v>72</v>
      </c>
      <c r="E34" s="57">
        <v>258.82337170800002</v>
      </c>
      <c r="F34" s="30">
        <v>0.57396525615000016</v>
      </c>
      <c r="G34" s="30">
        <v>0.5455989396000005</v>
      </c>
      <c r="H34" s="48">
        <v>5000</v>
      </c>
      <c r="I34" s="48">
        <v>15000</v>
      </c>
    </row>
    <row r="35" spans="1:9" s="3" customFormat="1" ht="30" x14ac:dyDescent="0.3">
      <c r="A35" s="8" t="s">
        <v>176</v>
      </c>
      <c r="B35" s="3" t="s">
        <v>63</v>
      </c>
      <c r="C35" s="40" t="s">
        <v>129</v>
      </c>
      <c r="D35" s="40" t="s">
        <v>130</v>
      </c>
      <c r="E35" s="55">
        <v>225.84690618750005</v>
      </c>
      <c r="F35" s="41">
        <v>0.27669925799999995</v>
      </c>
      <c r="G35" s="41">
        <v>0.5868759186000001</v>
      </c>
      <c r="H35" s="48">
        <v>5000</v>
      </c>
      <c r="I35" s="48">
        <v>15000</v>
      </c>
    </row>
    <row r="36" spans="1:9" s="3" customFormat="1" ht="45" x14ac:dyDescent="0.3">
      <c r="A36" s="8">
        <v>36</v>
      </c>
      <c r="B36" s="3" t="s">
        <v>63</v>
      </c>
      <c r="C36" s="40" t="s">
        <v>107</v>
      </c>
      <c r="D36" s="40" t="s">
        <v>108</v>
      </c>
      <c r="E36" s="57">
        <v>441.42268189500015</v>
      </c>
      <c r="F36" s="30">
        <v>0.60527962687500003</v>
      </c>
      <c r="G36" s="30">
        <v>2.0623295520000013</v>
      </c>
      <c r="H36" s="49">
        <v>15000</v>
      </c>
      <c r="I36" s="49">
        <v>30000</v>
      </c>
    </row>
    <row r="37" spans="1:9" s="3" customFormat="1" ht="30" x14ac:dyDescent="0.3">
      <c r="A37" s="8" t="s">
        <v>38</v>
      </c>
      <c r="B37" s="2" t="s">
        <v>63</v>
      </c>
      <c r="C37" s="40" t="s">
        <v>148</v>
      </c>
      <c r="D37" s="40" t="s">
        <v>135</v>
      </c>
      <c r="E37" s="55">
        <v>600</v>
      </c>
      <c r="F37" s="41">
        <v>0.255</v>
      </c>
      <c r="G37" s="41">
        <v>0.51</v>
      </c>
      <c r="H37" s="48">
        <v>5000</v>
      </c>
      <c r="I37" s="48">
        <v>15000</v>
      </c>
    </row>
    <row r="38" spans="1:9" s="3" customFormat="1" ht="24.75" customHeight="1" x14ac:dyDescent="0.3">
      <c r="A38" s="8">
        <v>15</v>
      </c>
      <c r="B38" s="4" t="s">
        <v>64</v>
      </c>
      <c r="C38" s="94" t="s">
        <v>81</v>
      </c>
      <c r="D38" s="20" t="s">
        <v>72</v>
      </c>
      <c r="E38" s="54">
        <v>252.28091193832805</v>
      </c>
      <c r="F38" s="28">
        <v>0.49808028219539402</v>
      </c>
      <c r="G38" s="28">
        <v>0.78003078357661693</v>
      </c>
      <c r="H38" s="48">
        <v>5000</v>
      </c>
      <c r="I38" s="48">
        <v>15000</v>
      </c>
    </row>
    <row r="39" spans="1:9" s="3" customFormat="1" ht="30" x14ac:dyDescent="0.3">
      <c r="A39" s="8" t="s">
        <v>180</v>
      </c>
      <c r="B39" s="3" t="s">
        <v>63</v>
      </c>
      <c r="C39" s="40" t="s">
        <v>302</v>
      </c>
      <c r="D39" s="40" t="s">
        <v>135</v>
      </c>
      <c r="E39" s="55">
        <v>234.375</v>
      </c>
      <c r="F39" s="41">
        <v>9.9609375E-2</v>
      </c>
      <c r="G39" s="41">
        <v>0.19921875</v>
      </c>
      <c r="H39" s="48">
        <v>3000</v>
      </c>
      <c r="I39" s="48">
        <v>5000</v>
      </c>
    </row>
    <row r="40" spans="1:9" s="3" customFormat="1" ht="30" x14ac:dyDescent="0.3">
      <c r="A40" s="8" t="s">
        <v>33</v>
      </c>
      <c r="B40" s="2" t="s">
        <v>63</v>
      </c>
      <c r="C40" s="20" t="s">
        <v>140</v>
      </c>
      <c r="D40" s="20" t="s">
        <v>130</v>
      </c>
      <c r="E40" s="53">
        <v>1250</v>
      </c>
      <c r="F40" s="29">
        <v>0.53125</v>
      </c>
      <c r="G40" s="29">
        <v>1.0625</v>
      </c>
      <c r="H40" s="49">
        <v>15000</v>
      </c>
      <c r="I40" s="49">
        <v>30000</v>
      </c>
    </row>
    <row r="41" spans="1:9" s="3" customFormat="1" ht="30" x14ac:dyDescent="0.3">
      <c r="A41" s="8" t="s">
        <v>27</v>
      </c>
      <c r="B41" s="2" t="s">
        <v>63</v>
      </c>
      <c r="C41" s="40" t="s">
        <v>121</v>
      </c>
      <c r="D41" s="40" t="s">
        <v>122</v>
      </c>
      <c r="E41" s="57">
        <v>76.512728570580009</v>
      </c>
      <c r="F41" s="30">
        <v>0.17022385568250004</v>
      </c>
      <c r="G41" s="30">
        <v>0.9593816616000006</v>
      </c>
      <c r="H41" s="48">
        <v>5000</v>
      </c>
      <c r="I41" s="48">
        <v>10000</v>
      </c>
    </row>
    <row r="42" spans="1:9" s="3" customFormat="1" ht="30" x14ac:dyDescent="0.3">
      <c r="A42" s="8" t="s">
        <v>175</v>
      </c>
      <c r="B42" s="2" t="s">
        <v>63</v>
      </c>
      <c r="C42" s="40" t="s">
        <v>127</v>
      </c>
      <c r="D42" s="40" t="s">
        <v>128</v>
      </c>
      <c r="E42" s="57">
        <v>208.66440964404885</v>
      </c>
      <c r="F42" s="30">
        <v>0.50695504115827839</v>
      </c>
      <c r="G42" s="30">
        <v>0.25909955327530731</v>
      </c>
      <c r="H42" s="49">
        <v>15000</v>
      </c>
      <c r="I42" s="49">
        <v>30000</v>
      </c>
    </row>
    <row r="43" spans="1:9" s="3" customFormat="1" ht="45" x14ac:dyDescent="0.3">
      <c r="A43" s="8">
        <v>37</v>
      </c>
      <c r="B43" s="3" t="s">
        <v>63</v>
      </c>
      <c r="C43" s="20" t="s">
        <v>109</v>
      </c>
      <c r="D43" s="20" t="s">
        <v>110</v>
      </c>
      <c r="E43" s="53">
        <v>2100</v>
      </c>
      <c r="F43" s="29">
        <v>0.89249999999999996</v>
      </c>
      <c r="G43" s="29">
        <v>1.7849999999999999</v>
      </c>
      <c r="H43" s="48">
        <v>30000</v>
      </c>
      <c r="I43" s="48">
        <v>50000</v>
      </c>
    </row>
    <row r="44" spans="1:9" s="3" customFormat="1" ht="30" x14ac:dyDescent="0.3">
      <c r="A44" s="8">
        <v>20</v>
      </c>
      <c r="B44" s="4" t="s">
        <v>64</v>
      </c>
      <c r="C44" s="95" t="s">
        <v>86</v>
      </c>
      <c r="D44" s="20" t="s">
        <v>87</v>
      </c>
      <c r="E44" s="53">
        <v>2250</v>
      </c>
      <c r="F44" s="29">
        <v>0.95625000000000016</v>
      </c>
      <c r="G44" s="29">
        <v>1.9125000000000003</v>
      </c>
      <c r="H44" s="49">
        <v>15000</v>
      </c>
      <c r="I44" s="49">
        <v>30000</v>
      </c>
    </row>
    <row r="45" spans="1:9" s="3" customFormat="1" x14ac:dyDescent="0.3">
      <c r="A45" s="8">
        <v>38</v>
      </c>
      <c r="B45" s="3" t="s">
        <v>63</v>
      </c>
      <c r="C45" s="40" t="s">
        <v>111</v>
      </c>
      <c r="D45" s="40" t="s">
        <v>92</v>
      </c>
      <c r="E45" s="57">
        <v>368.29464703200006</v>
      </c>
      <c r="F45" s="30">
        <v>0.44847564300000009</v>
      </c>
      <c r="G45" s="30">
        <v>1.0118515391999994</v>
      </c>
      <c r="H45" s="49">
        <v>15000</v>
      </c>
      <c r="I45" s="49">
        <v>30000</v>
      </c>
    </row>
    <row r="46" spans="1:9" s="3" customFormat="1" ht="30" x14ac:dyDescent="0.3">
      <c r="A46" s="8">
        <v>23</v>
      </c>
      <c r="B46" s="4" t="s">
        <v>64</v>
      </c>
      <c r="C46" s="95" t="s">
        <v>89</v>
      </c>
      <c r="D46" s="40" t="s">
        <v>90</v>
      </c>
      <c r="E46" s="55">
        <v>937.5</v>
      </c>
      <c r="F46" s="41">
        <v>0.3984375</v>
      </c>
      <c r="G46" s="41">
        <v>0.796875</v>
      </c>
      <c r="H46" s="48">
        <v>5000</v>
      </c>
      <c r="I46" s="48">
        <v>15000</v>
      </c>
    </row>
    <row r="47" spans="1:9" s="3" customFormat="1" ht="30" x14ac:dyDescent="0.3">
      <c r="A47" s="8">
        <v>16</v>
      </c>
      <c r="B47" s="4" t="s">
        <v>64</v>
      </c>
      <c r="C47" s="95" t="s">
        <v>83</v>
      </c>
      <c r="D47" s="40" t="s">
        <v>72</v>
      </c>
      <c r="E47" s="55">
        <v>341.64589174560007</v>
      </c>
      <c r="F47" s="41">
        <v>0.39777839640000012</v>
      </c>
      <c r="G47" s="41">
        <v>1.3029817017599994</v>
      </c>
      <c r="H47" s="48">
        <v>5000</v>
      </c>
      <c r="I47" s="48">
        <v>15000</v>
      </c>
    </row>
    <row r="48" spans="1:9" s="3" customFormat="1" ht="30" x14ac:dyDescent="0.3">
      <c r="A48" s="8" t="s">
        <v>55</v>
      </c>
      <c r="B48" s="1" t="s">
        <v>82</v>
      </c>
      <c r="C48" s="20" t="s">
        <v>171</v>
      </c>
      <c r="D48" s="20" t="s">
        <v>130</v>
      </c>
      <c r="E48" s="54">
        <v>292.05686028240001</v>
      </c>
      <c r="F48" s="28">
        <v>0.66866047033500009</v>
      </c>
      <c r="G48" s="28">
        <v>0.28650106332000025</v>
      </c>
      <c r="H48" s="48">
        <v>5000</v>
      </c>
      <c r="I48" s="48">
        <v>15000</v>
      </c>
    </row>
    <row r="49" spans="1:9" s="3" customFormat="1" ht="30" x14ac:dyDescent="0.3">
      <c r="A49" s="8" t="s">
        <v>24</v>
      </c>
      <c r="B49" s="2" t="s">
        <v>63</v>
      </c>
      <c r="C49" s="40" t="s">
        <v>119</v>
      </c>
      <c r="D49" s="40" t="s">
        <v>120</v>
      </c>
      <c r="E49" s="55">
        <v>375</v>
      </c>
      <c r="F49" s="41">
        <v>0.15937499999999999</v>
      </c>
      <c r="G49" s="41">
        <v>0.31874999999999998</v>
      </c>
      <c r="H49" s="48">
        <v>5000</v>
      </c>
      <c r="I49" s="48">
        <v>15000</v>
      </c>
    </row>
    <row r="50" spans="1:9" s="3" customFormat="1" x14ac:dyDescent="0.3">
      <c r="A50" s="8" t="s">
        <v>54</v>
      </c>
      <c r="B50" s="1" t="s">
        <v>82</v>
      </c>
      <c r="C50" s="20" t="s">
        <v>170</v>
      </c>
      <c r="D50" s="20" t="s">
        <v>162</v>
      </c>
      <c r="E50" s="54">
        <v>315.34224239160005</v>
      </c>
      <c r="F50" s="28">
        <v>0.69834085512750033</v>
      </c>
      <c r="G50" s="28">
        <v>0.44134966637999984</v>
      </c>
      <c r="H50" s="48">
        <v>5000</v>
      </c>
      <c r="I50" s="48">
        <v>15000</v>
      </c>
    </row>
    <row r="51" spans="1:9" s="3" customFormat="1" ht="60" x14ac:dyDescent="0.3">
      <c r="A51" s="8">
        <v>32</v>
      </c>
      <c r="B51" s="2" t="s">
        <v>63</v>
      </c>
      <c r="C51" s="95" t="s">
        <v>103</v>
      </c>
      <c r="D51" s="40" t="s">
        <v>104</v>
      </c>
      <c r="E51" s="57">
        <v>107.53683022090752</v>
      </c>
      <c r="F51" s="30">
        <v>0.31160213282053806</v>
      </c>
      <c r="G51" s="30">
        <v>0.26609127754618589</v>
      </c>
      <c r="H51" s="49">
        <v>15000</v>
      </c>
      <c r="I51" s="49">
        <v>30000</v>
      </c>
    </row>
    <row r="52" spans="1:9" s="3" customFormat="1" ht="45" x14ac:dyDescent="0.3">
      <c r="A52" s="8">
        <v>9</v>
      </c>
      <c r="B52" s="4" t="s">
        <v>64</v>
      </c>
      <c r="C52" s="95" t="s">
        <v>75</v>
      </c>
      <c r="D52" s="40" t="s">
        <v>76</v>
      </c>
      <c r="E52" s="57">
        <v>247.09665794400001</v>
      </c>
      <c r="F52" s="30">
        <v>0.60663864397500022</v>
      </c>
      <c r="G52" s="30">
        <v>0.37463290019999995</v>
      </c>
      <c r="H52" s="49">
        <v>15000</v>
      </c>
      <c r="I52" s="49">
        <v>30000</v>
      </c>
    </row>
    <row r="53" spans="1:9" s="3" customFormat="1" x14ac:dyDescent="0.3">
      <c r="A53" s="8">
        <v>25</v>
      </c>
      <c r="B53" s="4" t="s">
        <v>64</v>
      </c>
      <c r="C53" s="95" t="s">
        <v>93</v>
      </c>
      <c r="D53" s="40" t="s">
        <v>92</v>
      </c>
      <c r="E53" s="55">
        <v>625</v>
      </c>
      <c r="F53" s="41">
        <v>0.265625</v>
      </c>
      <c r="G53" s="41">
        <v>0.53125</v>
      </c>
      <c r="H53" s="48">
        <v>5000</v>
      </c>
      <c r="I53" s="48">
        <v>15000</v>
      </c>
    </row>
    <row r="54" spans="1:9" s="3" customFormat="1" ht="30" x14ac:dyDescent="0.3">
      <c r="A54" s="8">
        <v>30</v>
      </c>
      <c r="B54" s="4" t="s">
        <v>64</v>
      </c>
      <c r="C54" s="95" t="s">
        <v>10</v>
      </c>
      <c r="D54" s="40" t="s">
        <v>88</v>
      </c>
      <c r="E54" s="57">
        <v>443.89993371750012</v>
      </c>
      <c r="F54" s="30">
        <v>0.57713383406250029</v>
      </c>
      <c r="G54" s="30">
        <v>1.5901344180000008</v>
      </c>
      <c r="H54" s="49">
        <v>15000</v>
      </c>
      <c r="I54" s="49">
        <v>30000</v>
      </c>
    </row>
    <row r="55" spans="1:9" s="3" customFormat="1" x14ac:dyDescent="0.3">
      <c r="A55" s="8">
        <v>7</v>
      </c>
      <c r="B55" s="4" t="s">
        <v>64</v>
      </c>
      <c r="C55" s="95" t="s">
        <v>71</v>
      </c>
      <c r="D55" s="40" t="s">
        <v>72</v>
      </c>
      <c r="E55" s="55">
        <v>600.00000000000011</v>
      </c>
      <c r="F55" s="41">
        <v>0.255</v>
      </c>
      <c r="G55" s="41">
        <v>0.51</v>
      </c>
      <c r="H55" s="48">
        <v>5000</v>
      </c>
      <c r="I55" s="48">
        <v>15000</v>
      </c>
    </row>
    <row r="56" spans="1:9" s="3" customFormat="1" ht="30" x14ac:dyDescent="0.3">
      <c r="A56" s="8">
        <v>19</v>
      </c>
      <c r="B56" s="4" t="s">
        <v>64</v>
      </c>
      <c r="C56" s="95" t="s">
        <v>85</v>
      </c>
      <c r="D56" s="40" t="s">
        <v>233</v>
      </c>
      <c r="E56" s="57">
        <v>234.41424283800004</v>
      </c>
      <c r="F56" s="30">
        <v>0.53594232120000007</v>
      </c>
      <c r="G56" s="30">
        <v>0.45306760139999991</v>
      </c>
      <c r="H56" s="49">
        <v>15000</v>
      </c>
      <c r="I56" s="49">
        <v>30000</v>
      </c>
    </row>
    <row r="57" spans="1:9" s="3" customFormat="1" x14ac:dyDescent="0.3">
      <c r="A57" s="8">
        <v>12</v>
      </c>
      <c r="B57" s="4" t="s">
        <v>64</v>
      </c>
      <c r="C57" s="95" t="s">
        <v>80</v>
      </c>
      <c r="D57" s="40" t="s">
        <v>72</v>
      </c>
      <c r="E57" s="55">
        <v>520.83333333333337</v>
      </c>
      <c r="F57" s="41">
        <v>0.22135416666666671</v>
      </c>
      <c r="G57" s="41">
        <v>0.44270833333333343</v>
      </c>
      <c r="H57" s="48">
        <v>5000</v>
      </c>
      <c r="I57" s="48">
        <v>15000</v>
      </c>
    </row>
    <row r="58" spans="1:9" s="3" customFormat="1" ht="30" x14ac:dyDescent="0.3">
      <c r="A58" s="8">
        <v>29</v>
      </c>
      <c r="B58" s="4" t="s">
        <v>64</v>
      </c>
      <c r="C58" s="95" t="s">
        <v>99</v>
      </c>
      <c r="D58" s="40" t="s">
        <v>95</v>
      </c>
      <c r="E58" s="57">
        <v>92.709107766000002</v>
      </c>
      <c r="F58" s="30">
        <v>0.21410533608750004</v>
      </c>
      <c r="G58" s="30">
        <v>8.3845446300000015E-2</v>
      </c>
      <c r="H58" s="48">
        <v>5000</v>
      </c>
      <c r="I58" s="48">
        <v>15000</v>
      </c>
    </row>
    <row r="59" spans="1:9" s="3" customFormat="1" ht="30" x14ac:dyDescent="0.3">
      <c r="A59" s="8">
        <v>26</v>
      </c>
      <c r="B59" s="4" t="s">
        <v>64</v>
      </c>
      <c r="C59" s="95" t="s">
        <v>94</v>
      </c>
      <c r="D59" s="40" t="s">
        <v>95</v>
      </c>
      <c r="E59" s="56">
        <v>500</v>
      </c>
      <c r="F59" s="60">
        <v>0.21249999999999999</v>
      </c>
      <c r="G59" s="60">
        <v>0.42499999999999999</v>
      </c>
      <c r="H59" s="48">
        <v>5000</v>
      </c>
      <c r="I59" s="48">
        <v>15000</v>
      </c>
    </row>
    <row r="60" spans="1:9" s="3" customFormat="1" ht="30" x14ac:dyDescent="0.3">
      <c r="A60" s="8" t="s">
        <v>40</v>
      </c>
      <c r="B60" s="1" t="s">
        <v>82</v>
      </c>
      <c r="C60" s="20" t="s">
        <v>151</v>
      </c>
      <c r="D60" s="20" t="s">
        <v>130</v>
      </c>
      <c r="E60" s="53">
        <v>4593.75</v>
      </c>
      <c r="F60" s="29">
        <v>1.95234375</v>
      </c>
      <c r="G60" s="29">
        <v>3.9046875000000001</v>
      </c>
      <c r="H60" s="48">
        <v>30000</v>
      </c>
      <c r="I60" s="48">
        <v>50000</v>
      </c>
    </row>
    <row r="61" spans="1:9" s="3" customFormat="1" ht="30" x14ac:dyDescent="0.3">
      <c r="A61" s="8" t="s">
        <v>50</v>
      </c>
      <c r="B61" s="1" t="s">
        <v>82</v>
      </c>
      <c r="C61" s="40" t="s">
        <v>163</v>
      </c>
      <c r="D61" s="40" t="s">
        <v>164</v>
      </c>
      <c r="E61" s="55">
        <v>1125</v>
      </c>
      <c r="F61" s="41">
        <v>0.47812500000000008</v>
      </c>
      <c r="G61" s="41">
        <v>0.95625000000000016</v>
      </c>
      <c r="H61" s="48">
        <v>5000</v>
      </c>
      <c r="I61" s="48">
        <v>15000</v>
      </c>
    </row>
    <row r="62" spans="1:9" s="3" customFormat="1" ht="30" x14ac:dyDescent="0.3">
      <c r="A62" s="8" t="s">
        <v>37</v>
      </c>
      <c r="B62" s="1" t="s">
        <v>82</v>
      </c>
      <c r="C62" s="40" t="s">
        <v>147</v>
      </c>
      <c r="D62" s="40" t="s">
        <v>149</v>
      </c>
      <c r="E62" s="57">
        <v>906.02887870440009</v>
      </c>
      <c r="F62" s="30">
        <v>1.8617031754200006</v>
      </c>
      <c r="G62" s="30">
        <v>10.342795419000003</v>
      </c>
      <c r="H62" s="48">
        <v>30000</v>
      </c>
      <c r="I62" s="48">
        <v>50000</v>
      </c>
    </row>
    <row r="63" spans="1:9" s="3" customFormat="1" ht="30" x14ac:dyDescent="0.3">
      <c r="A63" s="8" t="s">
        <v>36</v>
      </c>
      <c r="B63" s="1" t="s">
        <v>82</v>
      </c>
      <c r="C63" s="40" t="s">
        <v>145</v>
      </c>
      <c r="D63" s="40" t="s">
        <v>146</v>
      </c>
      <c r="E63" s="57">
        <v>292.56467348196003</v>
      </c>
      <c r="F63" s="30">
        <v>1.0361134552860003</v>
      </c>
      <c r="G63" s="30">
        <v>13.186187044524004</v>
      </c>
      <c r="H63" s="49">
        <v>15000</v>
      </c>
      <c r="I63" s="49">
        <v>30000</v>
      </c>
    </row>
    <row r="64" spans="1:9" s="3" customFormat="1" ht="30" x14ac:dyDescent="0.3">
      <c r="A64" s="8" t="s">
        <v>39</v>
      </c>
      <c r="B64" s="1" t="s">
        <v>82</v>
      </c>
      <c r="C64" s="40" t="s">
        <v>150</v>
      </c>
      <c r="D64" s="40" t="s">
        <v>135</v>
      </c>
      <c r="E64" s="57">
        <v>410.30203441500004</v>
      </c>
      <c r="F64" s="30">
        <v>0.56757323317500008</v>
      </c>
      <c r="G64" s="30">
        <v>1.2715537982400003</v>
      </c>
      <c r="H64" s="49">
        <v>15000</v>
      </c>
      <c r="I64" s="49">
        <v>30000</v>
      </c>
    </row>
    <row r="65" spans="1:10" s="3" customFormat="1" ht="75" x14ac:dyDescent="0.3">
      <c r="A65" s="8">
        <v>8</v>
      </c>
      <c r="B65" s="4" t="s">
        <v>64</v>
      </c>
      <c r="C65" s="95" t="s">
        <v>73</v>
      </c>
      <c r="D65" s="40" t="s">
        <v>74</v>
      </c>
      <c r="E65" s="57">
        <v>281.59155073800008</v>
      </c>
      <c r="F65" s="30">
        <v>0.66789781695000006</v>
      </c>
      <c r="G65" s="30">
        <v>0.36637750440000039</v>
      </c>
      <c r="H65" s="48">
        <v>30000</v>
      </c>
      <c r="I65" s="48">
        <v>50000</v>
      </c>
    </row>
    <row r="66" spans="1:10" s="3" customFormat="1" ht="30" x14ac:dyDescent="0.3">
      <c r="A66" s="8" t="s">
        <v>173</v>
      </c>
      <c r="B66" s="4" t="s">
        <v>64</v>
      </c>
      <c r="C66" s="40" t="s">
        <v>123</v>
      </c>
      <c r="D66" s="40" t="s">
        <v>124</v>
      </c>
      <c r="E66" s="55">
        <v>375</v>
      </c>
      <c r="F66" s="41">
        <v>0.15937499999999999</v>
      </c>
      <c r="G66" s="41">
        <v>0.31874999999999998</v>
      </c>
      <c r="H66" s="48">
        <v>5000</v>
      </c>
      <c r="I66" s="48">
        <v>15000</v>
      </c>
    </row>
    <row r="67" spans="1:10" ht="30" x14ac:dyDescent="0.3">
      <c r="A67" s="8">
        <v>14</v>
      </c>
      <c r="B67" s="4" t="s">
        <v>64</v>
      </c>
      <c r="C67" s="95" t="s">
        <v>6</v>
      </c>
      <c r="D67" s="40" t="s">
        <v>16</v>
      </c>
      <c r="E67" s="55">
        <v>375</v>
      </c>
      <c r="F67" s="41">
        <v>0.15937499999999999</v>
      </c>
      <c r="G67" s="41">
        <v>0.31874999999999998</v>
      </c>
      <c r="H67" s="48">
        <v>5000</v>
      </c>
      <c r="I67" s="48">
        <v>15000</v>
      </c>
      <c r="J67" s="18"/>
    </row>
    <row r="68" spans="1:10" s="3" customFormat="1" ht="30" x14ac:dyDescent="0.3">
      <c r="A68" s="8" t="s">
        <v>32</v>
      </c>
      <c r="B68" s="1" t="s">
        <v>82</v>
      </c>
      <c r="C68" s="20" t="s">
        <v>139</v>
      </c>
      <c r="D68" s="20" t="s">
        <v>130</v>
      </c>
      <c r="E68" s="54">
        <v>741.87574396650007</v>
      </c>
      <c r="F68" s="28">
        <v>0.87238768500000008</v>
      </c>
      <c r="G68" s="28">
        <v>3.9143575386000009</v>
      </c>
      <c r="H68" s="49">
        <v>15000</v>
      </c>
      <c r="I68" s="49">
        <v>30000</v>
      </c>
    </row>
    <row r="69" spans="1:10" s="3" customFormat="1" ht="30" x14ac:dyDescent="0.3">
      <c r="A69" s="8" t="s">
        <v>31</v>
      </c>
      <c r="B69" s="1" t="s">
        <v>82</v>
      </c>
      <c r="C69" s="20" t="s">
        <v>137</v>
      </c>
      <c r="D69" s="20" t="s">
        <v>138</v>
      </c>
      <c r="E69" s="54">
        <v>366.70062970800012</v>
      </c>
      <c r="F69" s="28">
        <v>0.86607796275000037</v>
      </c>
      <c r="G69" s="28">
        <v>0.68250514049999911</v>
      </c>
      <c r="H69" s="49">
        <v>15000</v>
      </c>
      <c r="I69" s="49">
        <v>30000</v>
      </c>
    </row>
    <row r="70" spans="1:10" s="3" customFormat="1" ht="45" x14ac:dyDescent="0.3">
      <c r="A70" s="8" t="s">
        <v>177</v>
      </c>
      <c r="B70" s="1" t="s">
        <v>82</v>
      </c>
      <c r="C70" s="40" t="s">
        <v>131</v>
      </c>
      <c r="D70" s="40" t="s">
        <v>130</v>
      </c>
      <c r="E70" s="55">
        <v>1666.6666666666667</v>
      </c>
      <c r="F70" s="41">
        <v>0.70833333333333337</v>
      </c>
      <c r="G70" s="41">
        <v>1.4166666666666667</v>
      </c>
      <c r="H70" s="49">
        <v>15000</v>
      </c>
      <c r="I70" s="49">
        <v>30000</v>
      </c>
    </row>
    <row r="71" spans="1:10" s="3" customFormat="1" ht="30" x14ac:dyDescent="0.3">
      <c r="A71" s="8" t="s">
        <v>47</v>
      </c>
      <c r="B71" s="1" t="s">
        <v>82</v>
      </c>
      <c r="C71" s="40" t="s">
        <v>158</v>
      </c>
      <c r="D71" s="40" t="s">
        <v>130</v>
      </c>
      <c r="E71" s="55">
        <v>1666.6666666666667</v>
      </c>
      <c r="F71" s="41">
        <v>0.70833333333333337</v>
      </c>
      <c r="G71" s="41">
        <v>1.4166666666666667</v>
      </c>
      <c r="H71" s="49">
        <v>15000</v>
      </c>
      <c r="I71" s="49">
        <v>30000</v>
      </c>
    </row>
    <row r="72" spans="1:10" s="3" customFormat="1" ht="30" x14ac:dyDescent="0.3">
      <c r="A72" s="8">
        <v>28</v>
      </c>
      <c r="B72" s="4" t="s">
        <v>64</v>
      </c>
      <c r="C72" s="95" t="s">
        <v>98</v>
      </c>
      <c r="D72" s="40" t="s">
        <v>97</v>
      </c>
      <c r="E72" s="55">
        <v>660</v>
      </c>
      <c r="F72" s="41">
        <v>0.28050000000000003</v>
      </c>
      <c r="G72" s="41">
        <v>0.56100000000000005</v>
      </c>
      <c r="H72" s="49">
        <v>15000</v>
      </c>
      <c r="I72" s="49">
        <v>30000</v>
      </c>
    </row>
    <row r="73" spans="1:10" ht="30" x14ac:dyDescent="0.3">
      <c r="A73" s="8" t="s">
        <v>52</v>
      </c>
      <c r="B73" s="2" t="s">
        <v>63</v>
      </c>
      <c r="C73" s="40" t="s">
        <v>166</v>
      </c>
      <c r="D73" s="40" t="s">
        <v>168</v>
      </c>
      <c r="E73" s="57">
        <v>751.44600359168794</v>
      </c>
      <c r="F73" s="30">
        <v>1.0345781490729431</v>
      </c>
      <c r="G73" s="30">
        <v>3.5968877819459504</v>
      </c>
      <c r="H73" s="49">
        <v>150000</v>
      </c>
      <c r="I73" s="49">
        <v>200000</v>
      </c>
      <c r="J73" s="18"/>
    </row>
    <row r="74" spans="1:10" ht="30" x14ac:dyDescent="0.3">
      <c r="A74" s="8">
        <v>24</v>
      </c>
      <c r="B74" s="4" t="s">
        <v>64</v>
      </c>
      <c r="C74" s="95" t="s">
        <v>91</v>
      </c>
      <c r="D74" s="40" t="s">
        <v>92</v>
      </c>
      <c r="E74" s="55">
        <v>150.00000000000003</v>
      </c>
      <c r="F74" s="41">
        <v>6.3750000000000001E-2</v>
      </c>
      <c r="G74" s="41">
        <v>0.1275</v>
      </c>
      <c r="H74" s="48">
        <v>5000</v>
      </c>
      <c r="I74" s="48">
        <v>15000</v>
      </c>
      <c r="J74" s="3"/>
    </row>
    <row r="75" spans="1:10" ht="30" x14ac:dyDescent="0.3">
      <c r="A75" s="8">
        <v>21</v>
      </c>
      <c r="B75" s="4" t="s">
        <v>64</v>
      </c>
      <c r="C75" s="95" t="s">
        <v>8</v>
      </c>
      <c r="D75" s="40" t="s">
        <v>88</v>
      </c>
      <c r="E75" s="55">
        <v>274.99999999999994</v>
      </c>
      <c r="F75" s="41">
        <v>0.11687499999999998</v>
      </c>
      <c r="G75" s="41">
        <v>0.23374999999999996</v>
      </c>
      <c r="H75" s="49">
        <v>15000</v>
      </c>
      <c r="I75" s="49">
        <v>30000</v>
      </c>
      <c r="J75" s="3"/>
    </row>
    <row r="76" spans="1:10" ht="30" x14ac:dyDescent="0.3">
      <c r="A76" s="8">
        <v>22</v>
      </c>
      <c r="B76" s="4" t="s">
        <v>64</v>
      </c>
      <c r="C76" s="95" t="s">
        <v>9</v>
      </c>
      <c r="D76" s="40" t="s">
        <v>88</v>
      </c>
      <c r="E76" s="55">
        <v>274.99999999999994</v>
      </c>
      <c r="F76" s="41">
        <v>0.11687499999999998</v>
      </c>
      <c r="G76" s="41">
        <v>0.23374999999999996</v>
      </c>
      <c r="H76" s="49">
        <v>15000</v>
      </c>
      <c r="I76" s="49">
        <v>30000</v>
      </c>
      <c r="J76" s="3"/>
    </row>
    <row r="77" spans="1:10" ht="30" x14ac:dyDescent="0.3">
      <c r="A77" s="8" t="s">
        <v>48</v>
      </c>
      <c r="B77" s="1" t="s">
        <v>82</v>
      </c>
      <c r="C77" s="40" t="s">
        <v>159</v>
      </c>
      <c r="D77" s="40" t="s">
        <v>160</v>
      </c>
      <c r="E77" s="55">
        <v>281.25</v>
      </c>
      <c r="F77" s="41">
        <v>0.11953125000000002</v>
      </c>
      <c r="G77" s="41">
        <v>0.23906250000000004</v>
      </c>
      <c r="H77" s="48">
        <v>5000</v>
      </c>
      <c r="I77" s="48">
        <v>15000</v>
      </c>
    </row>
    <row r="78" spans="1:10" ht="30" x14ac:dyDescent="0.3">
      <c r="A78" s="8">
        <v>27</v>
      </c>
      <c r="B78" s="4" t="s">
        <v>64</v>
      </c>
      <c r="C78" s="95" t="s">
        <v>96</v>
      </c>
      <c r="D78" s="40" t="s">
        <v>97</v>
      </c>
      <c r="E78" s="55">
        <v>412.5</v>
      </c>
      <c r="F78" s="41">
        <v>0.17531249999999998</v>
      </c>
      <c r="G78" s="41">
        <v>0.35062499999999996</v>
      </c>
      <c r="H78" s="48">
        <v>30000</v>
      </c>
      <c r="I78" s="48">
        <v>50000</v>
      </c>
    </row>
    <row r="79" spans="1:10" ht="30" x14ac:dyDescent="0.3">
      <c r="A79" s="81" t="s">
        <v>51</v>
      </c>
      <c r="B79" s="82" t="s">
        <v>82</v>
      </c>
      <c r="C79" s="83" t="s">
        <v>165</v>
      </c>
      <c r="D79" s="83" t="s">
        <v>130</v>
      </c>
      <c r="E79" s="84">
        <v>185.38512642000001</v>
      </c>
      <c r="F79" s="85">
        <v>0.22871160450000005</v>
      </c>
      <c r="G79" s="85">
        <v>0.72647483040000038</v>
      </c>
      <c r="H79" s="86">
        <v>15000</v>
      </c>
      <c r="I79" s="86">
        <v>30000</v>
      </c>
    </row>
    <row r="80" spans="1:10" s="47" customFormat="1" x14ac:dyDescent="0.3">
      <c r="A80" s="87"/>
      <c r="B80" s="88"/>
      <c r="C80" s="96"/>
      <c r="D80" s="89" t="s">
        <v>213</v>
      </c>
      <c r="E80" s="90">
        <f>SUM(E2:E79)</f>
        <v>64266.183961524701</v>
      </c>
      <c r="F80" s="91">
        <f>SUM(F2:F79)</f>
        <v>56.108791604623008</v>
      </c>
      <c r="G80" s="91">
        <f>SUM(G2:G79)</f>
        <v>132.32007625442563</v>
      </c>
      <c r="H80" s="92">
        <f>SUM(H2:H79)</f>
        <v>1272000</v>
      </c>
      <c r="I80" s="92">
        <f>SUM(I2:I79)</f>
        <v>2340000</v>
      </c>
      <c r="J80" s="1"/>
    </row>
    <row r="81" spans="1:10" s="47" customFormat="1" x14ac:dyDescent="0.3">
      <c r="A81" s="8"/>
      <c r="B81" s="1"/>
      <c r="C81" s="20"/>
      <c r="D81" s="20"/>
      <c r="E81" s="59"/>
      <c r="F81" s="46"/>
      <c r="G81" s="46"/>
      <c r="J81" s="1"/>
    </row>
    <row r="82" spans="1:10" s="47" customFormat="1" x14ac:dyDescent="0.3">
      <c r="A82" s="8"/>
      <c r="B82" s="1"/>
      <c r="C82" s="20"/>
      <c r="D82" s="20"/>
      <c r="E82" s="54"/>
      <c r="F82" s="28"/>
      <c r="G82" s="28"/>
      <c r="J82" s="1"/>
    </row>
  </sheetData>
  <autoFilter ref="A1:I79" xr:uid="{134BDF87-287D-4A07-A519-3B478BFFC3D3}"/>
  <pageMargins left="0.7" right="0.7" top="0.75" bottom="0.75" header="0.3" footer="0.3"/>
  <pageSetup scale="60"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META</vt:lpstr>
      <vt:lpstr>Data</vt:lpstr>
      <vt:lpstr>HW Calcs</vt:lpstr>
      <vt:lpstr>Opti-Tool</vt:lpstr>
      <vt:lpstr>Region5</vt:lpstr>
      <vt:lpstr>TABLE</vt:lpstr>
      <vt:lpstr>Data!Print_Area</vt:lpstr>
      <vt:lpstr>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Diemer</dc:creator>
  <cp:lastModifiedBy>Fred</cp:lastModifiedBy>
  <cp:lastPrinted>2018-09-26T17:31:30Z</cp:lastPrinted>
  <dcterms:created xsi:type="dcterms:W3CDTF">2018-07-10T14:54:27Z</dcterms:created>
  <dcterms:modified xsi:type="dcterms:W3CDTF">2020-09-28T20:36:38Z</dcterms:modified>
</cp:coreProperties>
</file>